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nhsengland.sharepoint.com/sites/CFO/fc/fy/OpenLib/2022-23 Annual Accounts/Provider Accounts/IFRS 16/Examples and tools - updated for 2022 implementation/"/>
    </mc:Choice>
  </mc:AlternateContent>
  <xr:revisionPtr revIDLastSave="24" documentId="8_{9D3FDF03-6A7C-4026-A4AE-D52F2C2C8726}" xr6:coauthVersionLast="46" xr6:coauthVersionMax="46" xr10:uidLastSave="{525A287C-192D-47BC-ADFF-21DAA5CEDD7A}"/>
  <bookViews>
    <workbookView xWindow="-109" yWindow="-109" windowWidth="26301" windowHeight="14305" xr2:uid="{C03BCAD2-5667-4A4C-BDD9-DA1FE675A5C1}"/>
  </bookViews>
  <sheets>
    <sheet name="Scenario and Data" sheetId="1" r:id="rId1"/>
    <sheet name="Accounting" sheetId="2" r:id="rId2"/>
    <sheet name="Budgeting"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15" l="1"/>
  <c r="L22" i="15"/>
  <c r="K22" i="15"/>
  <c r="J22" i="15"/>
  <c r="M14" i="15"/>
  <c r="L14" i="15"/>
  <c r="K14" i="15"/>
  <c r="J14" i="15"/>
  <c r="L10" i="15"/>
  <c r="D226" i="2"/>
  <c r="D202" i="2"/>
  <c r="D180" i="2"/>
  <c r="D158" i="2"/>
  <c r="D136" i="2"/>
  <c r="D114" i="2"/>
  <c r="D92" i="2"/>
  <c r="B83" i="2"/>
  <c r="D70" i="2"/>
  <c r="D64" i="2"/>
  <c r="C58" i="2"/>
  <c r="D9" i="15" s="1"/>
  <c r="D47" i="2"/>
  <c r="D18" i="2"/>
  <c r="D20" i="2" s="1"/>
  <c r="B18" i="2"/>
  <c r="C14" i="2" s="1"/>
  <c r="D8" i="2"/>
  <c r="D10" i="2" s="1"/>
  <c r="C179" i="1"/>
  <c r="E209" i="2" s="1"/>
  <c r="C178" i="1"/>
  <c r="E187" i="2" s="1"/>
  <c r="C177" i="1"/>
  <c r="E165" i="2" s="1"/>
  <c r="E170" i="2" s="1"/>
  <c r="E174" i="2" s="1"/>
  <c r="C176" i="1"/>
  <c r="E143" i="2" s="1"/>
  <c r="C175" i="1"/>
  <c r="E121" i="2" s="1"/>
  <c r="E126" i="2" s="1"/>
  <c r="E130" i="2" s="1"/>
  <c r="C174" i="1"/>
  <c r="E99" i="2" s="1"/>
  <c r="C173" i="1"/>
  <c r="E77" i="2" s="1"/>
  <c r="C172" i="1"/>
  <c r="E54" i="2" s="1"/>
  <c r="C171" i="1"/>
  <c r="E33" i="2" s="1"/>
  <c r="E34" i="2" s="1"/>
  <c r="D170" i="1"/>
  <c r="B171" i="1" s="1"/>
  <c r="D171" i="1" s="1"/>
  <c r="B172" i="1" s="1"/>
  <c r="D172" i="1" s="1"/>
  <c r="B173" i="1" s="1"/>
  <c r="D173" i="1" s="1"/>
  <c r="B174" i="1" s="1"/>
  <c r="D174" i="1" s="1"/>
  <c r="B175" i="1" s="1"/>
  <c r="D175" i="1" s="1"/>
  <c r="B176" i="1" s="1"/>
  <c r="D176" i="1" s="1"/>
  <c r="B177" i="1" s="1"/>
  <c r="D177" i="1" s="1"/>
  <c r="B178" i="1" s="1"/>
  <c r="D178" i="1" s="1"/>
  <c r="B179" i="1" s="1"/>
  <c r="D179" i="1" s="1"/>
  <c r="C170" i="1"/>
  <c r="E9" i="2" s="1"/>
  <c r="B170" i="1"/>
  <c r="G151" i="1"/>
  <c r="G148" i="1"/>
  <c r="C148" i="1"/>
  <c r="B139" i="1"/>
  <c r="C69" i="2" s="1"/>
  <c r="G120" i="1"/>
  <c r="C97" i="1"/>
  <c r="B215" i="2" s="1"/>
  <c r="C96" i="1"/>
  <c r="C95" i="1"/>
  <c r="C94" i="1"/>
  <c r="D142" i="2" s="1"/>
  <c r="D144" i="2" s="1"/>
  <c r="C93" i="1"/>
  <c r="C92" i="1"/>
  <c r="D98" i="2" s="1"/>
  <c r="C91" i="1"/>
  <c r="C90" i="1"/>
  <c r="B61" i="2" s="1"/>
  <c r="F10" i="15" s="1"/>
  <c r="C89" i="1"/>
  <c r="B62" i="2" s="1"/>
  <c r="A68" i="1"/>
  <c r="D68" i="1" s="1"/>
  <c r="E68" i="1" s="1"/>
  <c r="D67" i="1"/>
  <c r="E67" i="1" s="1"/>
  <c r="A67" i="1"/>
  <c r="D66" i="1"/>
  <c r="E66" i="1" s="1"/>
  <c r="D65" i="1"/>
  <c r="E65" i="1" s="1"/>
  <c r="E214" i="2" l="1"/>
  <c r="E220" i="2" s="1"/>
  <c r="E210" i="2"/>
  <c r="A69" i="1"/>
  <c r="D53" i="2"/>
  <c r="B20" i="15" s="1"/>
  <c r="D100" i="2"/>
  <c r="D106" i="2"/>
  <c r="D108" i="2" s="1"/>
  <c r="E82" i="2"/>
  <c r="E86" i="2" s="1"/>
  <c r="E78" i="2"/>
  <c r="E10" i="2"/>
  <c r="E17" i="2"/>
  <c r="E20" i="2" s="1"/>
  <c r="E188" i="2"/>
  <c r="E192" i="2"/>
  <c r="E196" i="2" s="1"/>
  <c r="D120" i="2"/>
  <c r="B128" i="2"/>
  <c r="B150" i="2"/>
  <c r="E13" i="15" s="1"/>
  <c r="B149" i="2"/>
  <c r="B194" i="2"/>
  <c r="B193" i="2"/>
  <c r="E166" i="2"/>
  <c r="C21" i="15"/>
  <c r="H21" i="15" s="1"/>
  <c r="H22" i="15" s="1"/>
  <c r="E60" i="2"/>
  <c r="E55" i="2"/>
  <c r="D32" i="2"/>
  <c r="B40" i="2"/>
  <c r="B39" i="2"/>
  <c r="D76" i="2"/>
  <c r="B84" i="2"/>
  <c r="B106" i="2"/>
  <c r="B105" i="2"/>
  <c r="D164" i="2"/>
  <c r="B172" i="2"/>
  <c r="D208" i="2"/>
  <c r="B216" i="2"/>
  <c r="E100" i="2"/>
  <c r="E104" i="2"/>
  <c r="E108" i="2" s="1"/>
  <c r="E144" i="2"/>
  <c r="E148" i="2"/>
  <c r="E152" i="2" s="1"/>
  <c r="E122" i="2"/>
  <c r="B171" i="2"/>
  <c r="D55" i="2"/>
  <c r="E38" i="2"/>
  <c r="E42" i="2" s="1"/>
  <c r="G9" i="15"/>
  <c r="C91" i="2"/>
  <c r="C113" i="2" s="1"/>
  <c r="C135" i="2" s="1"/>
  <c r="C157" i="2" s="1"/>
  <c r="C179" i="2" s="1"/>
  <c r="C201" i="2" s="1"/>
  <c r="B127" i="2"/>
  <c r="D150" i="2"/>
  <c r="D186" i="2"/>
  <c r="D69" i="1" l="1"/>
  <c r="E69" i="1" s="1"/>
  <c r="A70" i="1"/>
  <c r="E24" i="2"/>
  <c r="E25" i="2" s="1"/>
  <c r="E46" i="2"/>
  <c r="C217" i="2"/>
  <c r="C218" i="2"/>
  <c r="C225" i="2"/>
  <c r="D166" i="2"/>
  <c r="D172" i="2"/>
  <c r="D174" i="2" s="1"/>
  <c r="D78" i="2"/>
  <c r="D84" i="2"/>
  <c r="D86" i="2" s="1"/>
  <c r="D21" i="15"/>
  <c r="E64" i="2"/>
  <c r="D122" i="2"/>
  <c r="D128" i="2"/>
  <c r="D130" i="2" s="1"/>
  <c r="D40" i="2"/>
  <c r="D42" i="2" s="1"/>
  <c r="D34" i="2"/>
  <c r="D188" i="2"/>
  <c r="D194" i="2"/>
  <c r="D196" i="2" s="1"/>
  <c r="I20" i="15"/>
  <c r="I22" i="15" s="1"/>
  <c r="D152" i="2"/>
  <c r="E20" i="15"/>
  <c r="G23" i="15" s="1"/>
  <c r="D210" i="2"/>
  <c r="D216" i="2"/>
  <c r="D220" i="2" s="1"/>
  <c r="A71" i="1" l="1"/>
  <c r="D70" i="1"/>
  <c r="E70" i="1" s="1"/>
  <c r="E68" i="2"/>
  <c r="E47" i="2"/>
  <c r="A72" i="1" l="1"/>
  <c r="D71" i="1"/>
  <c r="E71" i="1" s="1"/>
  <c r="E90" i="2"/>
  <c r="E70" i="2"/>
  <c r="D72" i="1" l="1"/>
  <c r="E72" i="1" s="1"/>
  <c r="A73" i="1"/>
  <c r="E112" i="2"/>
  <c r="E92" i="2"/>
  <c r="D73" i="1" l="1"/>
  <c r="E73" i="1" s="1"/>
  <c r="E75" i="1" s="1"/>
  <c r="A74" i="1"/>
  <c r="D74" i="1" s="1"/>
  <c r="E74" i="1" s="1"/>
  <c r="A85" i="1"/>
  <c r="E134" i="2"/>
  <c r="E114" i="2"/>
  <c r="B15" i="2" l="1"/>
  <c r="C13" i="2" s="1"/>
  <c r="B88" i="1"/>
  <c r="A111" i="1"/>
  <c r="E156" i="2"/>
  <c r="E136" i="2"/>
  <c r="C121" i="1" l="1"/>
  <c r="C117" i="1"/>
  <c r="B114" i="1"/>
  <c r="D114" i="1" s="1"/>
  <c r="C116" i="1"/>
  <c r="C123" i="1"/>
  <c r="C119" i="1"/>
  <c r="C115" i="1"/>
  <c r="C118" i="1"/>
  <c r="C114" i="1"/>
  <c r="C120" i="1"/>
  <c r="C122" i="1"/>
  <c r="D88" i="1"/>
  <c r="B7" i="2" s="1"/>
  <c r="E178" i="2"/>
  <c r="E158" i="2"/>
  <c r="B115" i="1" l="1"/>
  <c r="D115" i="1" s="1"/>
  <c r="B116" i="1" s="1"/>
  <c r="B16" i="2"/>
  <c r="B10" i="2"/>
  <c r="C38" i="2"/>
  <c r="C42" i="2" s="1"/>
  <c r="C33" i="2"/>
  <c r="C34" i="2" s="1"/>
  <c r="E88" i="1"/>
  <c r="B89" i="1" s="1"/>
  <c r="C9" i="2"/>
  <c r="C10" i="2" s="1"/>
  <c r="C17" i="2"/>
  <c r="C20" i="2" s="1"/>
  <c r="C23" i="2" s="1"/>
  <c r="G121" i="1"/>
  <c r="E200" i="2"/>
  <c r="E180" i="2"/>
  <c r="D89" i="1" l="1"/>
  <c r="B31" i="2" s="1"/>
  <c r="E89" i="1"/>
  <c r="B20" i="2"/>
  <c r="B22" i="2"/>
  <c r="E114" i="1"/>
  <c r="C25" i="2"/>
  <c r="C45" i="2"/>
  <c r="C47" i="2" s="1"/>
  <c r="B148" i="1"/>
  <c r="D116" i="1"/>
  <c r="B117" i="1" s="1"/>
  <c r="D117" i="1" s="1"/>
  <c r="E224" i="2"/>
  <c r="E226" i="2" s="1"/>
  <c r="E202" i="2"/>
  <c r="B118" i="1"/>
  <c r="D118" i="1" s="1"/>
  <c r="B90" i="1" l="1"/>
  <c r="D90" i="1" s="1"/>
  <c r="E115" i="1"/>
  <c r="D153" i="1"/>
  <c r="D149" i="1"/>
  <c r="D155" i="1"/>
  <c r="D152" i="1"/>
  <c r="D148" i="1"/>
  <c r="D151" i="1"/>
  <c r="C121" i="2" s="1"/>
  <c r="D154" i="1"/>
  <c r="D150" i="1"/>
  <c r="B25" i="2"/>
  <c r="B44" i="2"/>
  <c r="B47" i="2" s="1"/>
  <c r="B34" i="2"/>
  <c r="B37" i="2"/>
  <c r="B42" i="2" s="1"/>
  <c r="B52" i="2"/>
  <c r="E90" i="1"/>
  <c r="B119" i="1"/>
  <c r="D119" i="1" s="1"/>
  <c r="C126" i="2" l="1"/>
  <c r="C130" i="2" s="1"/>
  <c r="C122" i="2"/>
  <c r="E148" i="1"/>
  <c r="B149" i="1" s="1"/>
  <c r="E149" i="1" s="1"/>
  <c r="B150" i="1" s="1"/>
  <c r="E150" i="1" s="1"/>
  <c r="B151" i="1" s="1"/>
  <c r="E151" i="1" s="1"/>
  <c r="B152" i="1" s="1"/>
  <c r="E152" i="1" s="1"/>
  <c r="B153" i="1" s="1"/>
  <c r="E153" i="1" s="1"/>
  <c r="B154" i="1" s="1"/>
  <c r="E154" i="1" s="1"/>
  <c r="B155" i="1" s="1"/>
  <c r="E155" i="1" s="1"/>
  <c r="C54" i="2"/>
  <c r="G149" i="1"/>
  <c r="C170" i="2"/>
  <c r="C174" i="2" s="1"/>
  <c r="C165" i="2"/>
  <c r="C166" i="2" s="1"/>
  <c r="C104" i="2"/>
  <c r="C108" i="2" s="1"/>
  <c r="C99" i="2"/>
  <c r="C100" i="2" s="1"/>
  <c r="C148" i="2"/>
  <c r="C143" i="2"/>
  <c r="C144" i="2" s="1"/>
  <c r="C77" i="2"/>
  <c r="C78" i="2" s="1"/>
  <c r="C82" i="2"/>
  <c r="C86" i="2" s="1"/>
  <c r="C192" i="2"/>
  <c r="C196" i="2" s="1"/>
  <c r="C187" i="2"/>
  <c r="C188" i="2" s="1"/>
  <c r="C209" i="2"/>
  <c r="C210" i="2" s="1"/>
  <c r="C214" i="2"/>
  <c r="C220" i="2" s="1"/>
  <c r="B120" i="1"/>
  <c r="D120" i="1" s="1"/>
  <c r="B91" i="1"/>
  <c r="E116" i="1"/>
  <c r="B55" i="2"/>
  <c r="C11" i="15"/>
  <c r="B59" i="2"/>
  <c r="C55" i="2" l="1"/>
  <c r="C12" i="15"/>
  <c r="H12" i="15" s="1"/>
  <c r="H14" i="15" s="1"/>
  <c r="C60" i="2"/>
  <c r="D12" i="15"/>
  <c r="C152" i="2"/>
  <c r="I11" i="15"/>
  <c r="I14" i="15" s="1"/>
  <c r="D91" i="1"/>
  <c r="B121" i="1"/>
  <c r="D121" i="1" s="1"/>
  <c r="F11" i="15"/>
  <c r="G15" i="15" s="1"/>
  <c r="B64" i="2"/>
  <c r="B66" i="2"/>
  <c r="C64" i="2" l="1"/>
  <c r="C67" i="2"/>
  <c r="B122" i="1"/>
  <c r="D122" i="1" s="1"/>
  <c r="B75" i="2"/>
  <c r="B70" i="2"/>
  <c r="E91" i="1"/>
  <c r="C70" i="2" l="1"/>
  <c r="C89" i="2"/>
  <c r="B81" i="2"/>
  <c r="B78" i="2"/>
  <c r="B92" i="1"/>
  <c r="E117" i="1"/>
  <c r="B123" i="1"/>
  <c r="D123" i="1" s="1"/>
  <c r="C111" i="2" l="1"/>
  <c r="C92" i="2"/>
  <c r="D92" i="1"/>
  <c r="E92" i="1" s="1"/>
  <c r="B86" i="2"/>
  <c r="B88" i="2"/>
  <c r="C114" i="2" l="1"/>
  <c r="C133" i="2"/>
  <c r="B93" i="1"/>
  <c r="E118" i="1"/>
  <c r="B92" i="2"/>
  <c r="B97" i="2"/>
  <c r="C136" i="2" l="1"/>
  <c r="C155" i="2"/>
  <c r="B103" i="2"/>
  <c r="B100" i="2"/>
  <c r="D93" i="1"/>
  <c r="B119" i="2" s="1"/>
  <c r="C158" i="2" l="1"/>
  <c r="C177" i="2"/>
  <c r="B108" i="2"/>
  <c r="B110" i="2"/>
  <c r="B125" i="2"/>
  <c r="B130" i="2" s="1"/>
  <c r="B122" i="2"/>
  <c r="E93" i="1"/>
  <c r="C199" i="2" l="1"/>
  <c r="C180" i="2"/>
  <c r="B132" i="2"/>
  <c r="B114" i="2"/>
  <c r="B94" i="1"/>
  <c r="E119" i="1"/>
  <c r="C202" i="2" l="1"/>
  <c r="C223" i="2"/>
  <c r="C226" i="2" s="1"/>
  <c r="D94" i="1"/>
  <c r="B141" i="2" s="1"/>
  <c r="B136" i="2"/>
  <c r="B147" i="2" l="1"/>
  <c r="B144" i="2"/>
  <c r="E94" i="1"/>
  <c r="B95" i="1" l="1"/>
  <c r="E120" i="1"/>
  <c r="B152" i="2"/>
  <c r="B154" i="2"/>
  <c r="B158" i="2" l="1"/>
  <c r="D95" i="1"/>
  <c r="B163" i="2" s="1"/>
  <c r="E95" i="1" l="1"/>
  <c r="B169" i="2"/>
  <c r="B166" i="2"/>
  <c r="B174" i="2" l="1"/>
  <c r="B176" i="2"/>
  <c r="B96" i="1"/>
  <c r="E121" i="1"/>
  <c r="D96" i="1" l="1"/>
  <c r="B185" i="2" s="1"/>
  <c r="B180" i="2"/>
  <c r="B191" i="2" l="1"/>
  <c r="B188" i="2"/>
  <c r="E96" i="1"/>
  <c r="B97" i="1" l="1"/>
  <c r="E122" i="1"/>
  <c r="B196" i="2"/>
  <c r="B198" i="2"/>
  <c r="B202" i="2" l="1"/>
  <c r="D97" i="1"/>
  <c r="B207" i="2" l="1"/>
  <c r="G150" i="1"/>
  <c r="G152" i="1" s="1"/>
  <c r="G122" i="1"/>
  <c r="G123" i="1" s="1"/>
  <c r="E97" i="1"/>
  <c r="E123" i="1" s="1"/>
  <c r="B213" i="2" l="1"/>
  <c r="B210" i="2"/>
  <c r="B220" i="2" l="1"/>
  <c r="B222" i="2"/>
  <c r="B226" i="2" s="1"/>
</calcChain>
</file>

<file path=xl/sharedStrings.xml><?xml version="1.0" encoding="utf-8"?>
<sst xmlns="http://schemas.openxmlformats.org/spreadsheetml/2006/main" count="460" uniqueCount="189">
  <si>
    <t>Total payments</t>
  </si>
  <si>
    <t>Depreciation expense</t>
  </si>
  <si>
    <t>Discounting expense</t>
  </si>
  <si>
    <t>Total expense</t>
  </si>
  <si>
    <t>Depreciation</t>
  </si>
  <si>
    <t>I &amp; E</t>
  </si>
  <si>
    <t>Accumulated Depreciation</t>
  </si>
  <si>
    <t>TOTAL</t>
  </si>
  <si>
    <t>Lessee (Lease)</t>
  </si>
  <si>
    <t>Lessor (Lease)</t>
  </si>
  <si>
    <t>payment (1 Apr)</t>
  </si>
  <si>
    <t>NBV opening (1 Apr)</t>
  </si>
  <si>
    <t>LESSOR</t>
  </si>
  <si>
    <t>LESSEE</t>
  </si>
  <si>
    <t>Lessor (Asset)</t>
  </si>
  <si>
    <t xml:space="preserve">Closing </t>
  </si>
  <si>
    <t>Lease liability</t>
  </si>
  <si>
    <t>Lease Liability C/F</t>
  </si>
  <si>
    <t>Right of Use of Asset NBV C/F</t>
  </si>
  <si>
    <t>Payment</t>
  </si>
  <si>
    <t>Date of payment</t>
  </si>
  <si>
    <t>Discount Factor</t>
  </si>
  <si>
    <t>Discounted Amount</t>
  </si>
  <si>
    <t>Year</t>
  </si>
  <si>
    <t>Opening (1 Apr)</t>
  </si>
  <si>
    <t>BALANCE SHEET Movements</t>
  </si>
  <si>
    <t>Gross book value of the right-of use asset at initial recognition</t>
  </si>
  <si>
    <t>Lease Unwinding of Discount</t>
  </si>
  <si>
    <t>Underlying Asset</t>
  </si>
  <si>
    <t>Cost Value</t>
  </si>
  <si>
    <t>NBV Closing (31 Mar)</t>
  </si>
  <si>
    <t>Annual Depreciation (50 years - straight line)</t>
  </si>
  <si>
    <t>Net Book Value</t>
  </si>
  <si>
    <t>Scenario details</t>
  </si>
  <si>
    <t>ACCOUNTS</t>
  </si>
  <si>
    <t>BUDGETS</t>
  </si>
  <si>
    <t>NATIONAL ACCOUNTS</t>
  </si>
  <si>
    <t>OSCAR coding</t>
  </si>
  <si>
    <t>SOCNE
("I&amp;E")</t>
  </si>
  <si>
    <t>SOFP
("Bal sheet")</t>
  </si>
  <si>
    <t>RDEL RF</t>
  </si>
  <si>
    <t>RDEL NRF</t>
  </si>
  <si>
    <t>RDEL Total</t>
  </si>
  <si>
    <t>RAME</t>
  </si>
  <si>
    <t>CDEL</t>
  </si>
  <si>
    <t>CAME</t>
  </si>
  <si>
    <t>PSNB</t>
  </si>
  <si>
    <t>PSND</t>
  </si>
  <si>
    <t>Total budgeting Department A</t>
  </si>
  <si>
    <t>Check Accounting DR/CR</t>
  </si>
  <si>
    <t>Notes and Relevant Guidance</t>
  </si>
  <si>
    <t>Worked Example</t>
  </si>
  <si>
    <t>Commencement date</t>
  </si>
  <si>
    <t>Calculation of the PV of future payments</t>
  </si>
  <si>
    <t xml:space="preserve">Lease liability at initial recognition: </t>
  </si>
  <si>
    <t>Diff to liability</t>
  </si>
  <si>
    <t>closing (31 Mar)</t>
  </si>
  <si>
    <t>NBV closing (31 Mar)</t>
  </si>
  <si>
    <t>ROU Asset</t>
  </si>
  <si>
    <t>Lease Liability</t>
  </si>
  <si>
    <t>Interest</t>
  </si>
  <si>
    <t>Cash Paid</t>
  </si>
  <si>
    <t>Lease Income</t>
  </si>
  <si>
    <t xml:space="preserve">Total budgeting </t>
  </si>
  <si>
    <t>DR</t>
  </si>
  <si>
    <t>CR</t>
  </si>
  <si>
    <t>Right-of-use asset</t>
  </si>
  <si>
    <t>LESSEE - ROU Asset (IFRS 16.23) - after lease modification</t>
  </si>
  <si>
    <t>LESSEE - reconciliation</t>
  </si>
  <si>
    <t>Lessee (ROU Asset)</t>
  </si>
  <si>
    <t>"IFRS 16 Worked Example - Operating Lease"</t>
  </si>
  <si>
    <t>Income</t>
  </si>
  <si>
    <t>Expense</t>
  </si>
  <si>
    <t>Assets</t>
  </si>
  <si>
    <t>Cash</t>
  </si>
  <si>
    <t>Liability</t>
  </si>
  <si>
    <t>Equity</t>
  </si>
  <si>
    <t>IFRS16 Worked Example - Operating Lease - Revaluation of the ROU Asset - Scenario and Data</t>
  </si>
  <si>
    <t>IFRS16 Worked Example - Revaluation of the ROU Asset - Accounting Entries</t>
  </si>
  <si>
    <t>IFRS16 Worked Example - Revaluation of the ROU Asset - Budgeting</t>
  </si>
  <si>
    <t>When ROU asset is revalued lessee adjusts depreciation charge to equal the difference between the gross carrying amount and the carrying amount of the asset after taking into account accumulated impairment losses (IAS16.35)</t>
  </si>
  <si>
    <t xml:space="preserve">LESSEE - Liability (IFRS 16.26) </t>
  </si>
  <si>
    <t>LESSEE - ROU Asset (IFRS 16.23) - before revaluation</t>
  </si>
  <si>
    <t>Revaluation adjustment</t>
  </si>
  <si>
    <t>LESSEE - reconciliation (after revaluation)</t>
  </si>
  <si>
    <t>Revaluation Reserve</t>
  </si>
  <si>
    <t>Revaluation Surplus C/F</t>
  </si>
  <si>
    <t xml:space="preserve">Income - Lease payment </t>
  </si>
  <si>
    <t>Upfront payment in Yr 1</t>
  </si>
  <si>
    <r>
      <t xml:space="preserve">Depreciation - </t>
    </r>
    <r>
      <rPr>
        <sz val="11"/>
        <color rgb="FFFF0000"/>
        <rFont val="Calibri"/>
        <family val="2"/>
        <scheme val="minor"/>
      </rPr>
      <t>Note 8</t>
    </r>
  </si>
  <si>
    <t>For budgeting impact in years 1 - 2 please refer to :</t>
  </si>
  <si>
    <t>LESSEE - Yr 3</t>
  </si>
  <si>
    <t>LESSOR - Yr 3</t>
  </si>
  <si>
    <t>General Fund</t>
  </si>
  <si>
    <t>General Fund C/F</t>
  </si>
  <si>
    <t xml:space="preserve">As per interpretation mandated by HMT ROU assets should be measured using revaluation model. However, as per paragraph 3.15 of the HMT IFRS16 Application Guidance, cost model will be an appropriate proxy </t>
  </si>
  <si>
    <t>for current value in existing use of fair value with the exceptions as described in paragraph 3.16 of the standard.</t>
  </si>
  <si>
    <t>* Depreciation scores to NRF RDEL for Providers</t>
  </si>
  <si>
    <t>Underlying Asset NBV C/F</t>
  </si>
  <si>
    <t xml:space="preserve">RoU Asset - Lease Payment </t>
  </si>
  <si>
    <t xml:space="preserve">The underlying asset is depreciated by the lessor on a straight line basis over 50 years. </t>
  </si>
  <si>
    <t xml:space="preserve">When ROU asset is revalued lessee adjusts depreciation charge to equal the difference between the gross carrying amount and the carrying amount of the asset after taking into account accumulated impairment losses </t>
  </si>
  <si>
    <t>Lease Interest (5%) recognised by the lessee</t>
  </si>
  <si>
    <t>Upfront lease payment paid by lessee</t>
  </si>
  <si>
    <t xml:space="preserve">Revaluation is recognised in OCI and accumulated in equity under the heading of revaluation surplus </t>
  </si>
  <si>
    <t>RoU asset revaluation</t>
  </si>
  <si>
    <t>Revised depreciation</t>
  </si>
  <si>
    <t>Lease is for as an operating lease which means that the underlying asset remains on the Lessor's balance sheet.</t>
  </si>
  <si>
    <r>
      <t xml:space="preserve">Interest Expense - </t>
    </r>
    <r>
      <rPr>
        <sz val="11"/>
        <color rgb="FFFF0000"/>
        <rFont val="Calibri"/>
        <family val="2"/>
        <scheme val="minor"/>
      </rPr>
      <t>note 5</t>
    </r>
  </si>
  <si>
    <t>No budget impact on reval as per CBG</t>
  </si>
  <si>
    <t>No exemptions apply in this scenario. The asset is not considered to be low value and the contract does not meet definition of a short-term lease (IFRS16.5-8) (IFRS16 B3-B8)</t>
  </si>
  <si>
    <t>The lease payments made at or before the commencement date are not included in the lease liability, but they are included in the measurement of the right-of-use assets. (ifrs Community)</t>
  </si>
  <si>
    <t xml:space="preserve">The income recognised by lessor consists of the annual cash payments of £50k. </t>
  </si>
  <si>
    <t xml:space="preserve">The underlying asset is depreciated by the lessor in line with their accounting policy (IFRS16.84). </t>
  </si>
  <si>
    <t>The lessee presents interest expense in  the P&amp;L separately from depreciation expense of the ROU asset (IFRS16.49) (IFRS16 BC209)</t>
  </si>
  <si>
    <t xml:space="preserve">The discount rate implicit in this scenario has been provided (5%). The rate of interest that causes the present value of (a) the lease payments and (b) the unguaranteed residual value to equal the sum of (i) </t>
  </si>
  <si>
    <t>Objectives</t>
  </si>
  <si>
    <t>1. Scenario and Data</t>
  </si>
  <si>
    <t>2. Accounting</t>
  </si>
  <si>
    <t>3. Budgeting</t>
  </si>
  <si>
    <t>Firstly, We need to complete few calculations based on the scenario details provided above. These calculations are:</t>
  </si>
  <si>
    <t>For Lessee:</t>
  </si>
  <si>
    <t>Step 1</t>
  </si>
  <si>
    <t>Identify discount rate that can be used to calculate present value of the future lease payments</t>
  </si>
  <si>
    <t>Step 2</t>
  </si>
  <si>
    <t>Step 3</t>
  </si>
  <si>
    <t>Step 4</t>
  </si>
  <si>
    <t xml:space="preserve">Calculate lease liability  </t>
  </si>
  <si>
    <t>Step 5</t>
  </si>
  <si>
    <t>Calculate value of the RoU asset considering any potential upfront payments, lease incentives etc.</t>
  </si>
  <si>
    <t>For Lessor:</t>
  </si>
  <si>
    <t>Step 6</t>
  </si>
  <si>
    <t>Step 7</t>
  </si>
  <si>
    <t>Calculate the depreciation charge for the underlying asset.</t>
  </si>
  <si>
    <t xml:space="preserve">To note: This is an operating lease. Lessor does not recognise lease receivable on the balance sheet and therefore is not required to calculate the rate implicit in the lease. </t>
  </si>
  <si>
    <r>
      <t xml:space="preserve">Discount rate - </t>
    </r>
    <r>
      <rPr>
        <sz val="10"/>
        <color rgb="FFFF0000"/>
        <rFont val="Calibri"/>
        <family val="2"/>
        <scheme val="minor"/>
      </rPr>
      <t>note 6</t>
    </r>
  </si>
  <si>
    <t>Future payments for the lease are listed  in the table below. For each payment, the discount factor is calculated in order to determine the total present value</t>
  </si>
  <si>
    <t>of the lease liability. Initial measurement of a lease liability amounts to £355,391 and is calculated as follows:</t>
  </si>
  <si>
    <t>Using the present value of the lease payments We can establish lease liability.</t>
  </si>
  <si>
    <t>The lessee is required to present finance cost of the lease in  the P&amp;L separately from depreciation expense of the ROU asset.</t>
  </si>
  <si>
    <t>Below calculation also provides closing balance of the lease liability recognised by the lessee every year over the term of the contract.</t>
  </si>
  <si>
    <t>Step 4 and 5</t>
  </si>
  <si>
    <t xml:space="preserve">The upfront payment is included in the value of the RoU asset at initial recognition. </t>
  </si>
  <si>
    <t xml:space="preserve">The right-of-use asset is depreciated under IAS 16 requirements (IFRS 16.31). </t>
  </si>
  <si>
    <t>The difference between closing value of the RoU asset and lease liability is shown in column E</t>
  </si>
  <si>
    <t>Step 8</t>
  </si>
  <si>
    <t xml:space="preserve">LESSOR - Underlying Asset </t>
  </si>
  <si>
    <r>
      <t xml:space="preserve">Depreciation - </t>
    </r>
    <r>
      <rPr>
        <sz val="10"/>
        <color rgb="FFFF0000"/>
        <rFont val="Calibri"/>
        <family val="2"/>
        <scheme val="minor"/>
      </rPr>
      <t>note 4</t>
    </r>
  </si>
  <si>
    <t>Calculate PV of future lease payments using the discount rate</t>
  </si>
  <si>
    <t>Decide what depreciation period of the RoU asset is appropriate considering length of the lease and the useful life of the asset</t>
  </si>
  <si>
    <t xml:space="preserve">Calculate impact of the revaluation of RoU asset </t>
  </si>
  <si>
    <t>Calculate revised value for the RoU asset and new depreciation charge</t>
  </si>
  <si>
    <t>Lease Interest cost</t>
  </si>
  <si>
    <t xml:space="preserve">Right of use of asset </t>
  </si>
  <si>
    <t>Lease liability (discounted)</t>
  </si>
  <si>
    <t>Cash Lease (payment) / receipt</t>
  </si>
  <si>
    <t>ROU Asset - revaluation</t>
  </si>
  <si>
    <t>the fair value of the underlying asset and (ii) any initial direct costs of the lessor. If this rate is not readily available entities will use interest rates published by HMT</t>
  </si>
  <si>
    <t>At Commencement</t>
  </si>
  <si>
    <t>TOTAL MOVEMENTS</t>
  </si>
  <si>
    <t>Revaluation is recognised by the lessee in OCI under the heading of revaluation surplus (IAS16.39)</t>
  </si>
  <si>
    <t>2022-23</t>
  </si>
  <si>
    <t>2023-24</t>
  </si>
  <si>
    <t>2024-25</t>
  </si>
  <si>
    <t>2025-26</t>
  </si>
  <si>
    <t>2026-27</t>
  </si>
  <si>
    <t>2027-28</t>
  </si>
  <si>
    <t>2028-29</t>
  </si>
  <si>
    <t>2029-30</t>
  </si>
  <si>
    <t>LESSEE - ROU Asset revaluation</t>
  </si>
  <si>
    <t>Dep'n - lessor (£5m / 50 years), Lessee - (405,391 / 10 years)</t>
  </si>
  <si>
    <t>There are three tabs in this workbook:</t>
  </si>
  <si>
    <t>The purpose of this example is to show accounting entries and budgeting impact of the operating lease arrangement between two entities with the impact of the revaluation of the RoU asset.</t>
  </si>
  <si>
    <t>Contract starts on 1st April 2022 and the discount rate has been provided in the scenario.</t>
  </si>
  <si>
    <t>2030-31</t>
  </si>
  <si>
    <t>2031-32</t>
  </si>
  <si>
    <t>At the beginning of year 3 (on the 1st of April 2024) the lessee revalue ROU asset with an increase in value of £75,000</t>
  </si>
  <si>
    <t>Entries made on 01.04.2024</t>
  </si>
  <si>
    <t>YEAR 1 (31/03/2023)</t>
  </si>
  <si>
    <t>YEAR 2 (31/03/2024)</t>
  </si>
  <si>
    <t>YEAR 3 (31/03/2025)</t>
  </si>
  <si>
    <t>YEAR 4 (31/03/2026)</t>
  </si>
  <si>
    <t>YEAR 5 (31/03/2027)</t>
  </si>
  <si>
    <t>YEAR 6 (31/03/2028)</t>
  </si>
  <si>
    <t>YEAR 7 (31/03/2029)</t>
  </si>
  <si>
    <t>YEAR 8 (31/03/2030)</t>
  </si>
  <si>
    <t>YEAR 9 (31/03/2031)</t>
  </si>
  <si>
    <t>YEAR 10 (31/03/2032)</t>
  </si>
  <si>
    <t>Two entities, entity A (Lessee) and entity B (Lessor) enter into a lease agreement on the 1st of April 2022. The lease term is 10 years. Under the agreement the lessee pays to the lessor £50k annual lease rental charge. There is no option to extend the contract nor there is an option to purchase the asset by the lessee. The lessor accounts for the lease as an operating lease. The interest rate implicit in the contract is 5%. At the beginning of year 3 (on the 1st of April 2024) the ROU asset is revalued with an increase in value of £75,000. The term of the lease and discount rate used in the scenario remain unchanged.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</si>
</sst>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quot;-&quot;"/>
    <numFmt numFmtId="166" formatCode="#,##0;[Red]\(#,##0\)"/>
    <numFmt numFmtId="167" formatCode="_-* #,##0_-;\-* #,##0_-;_-* &quot;-&quot;??_-;_-@_-"/>
  </numFmts>
  <fonts count="22" x14ac:knownFonts="1">
    <font>
      <sz val="11"/>
      <color theme="1"/>
      <name val="Calibri"/>
      <family val="2"/>
      <scheme val="minor"/>
    </font>
    <font>
      <b/>
      <sz val="11"/>
      <color theme="1"/>
      <name val="Calibri"/>
      <family val="2"/>
      <scheme val="minor"/>
    </font>
    <font>
      <b/>
      <sz val="11"/>
      <color theme="1"/>
      <name val="Calibri"/>
      <family val="2"/>
      <charset val="238"/>
      <scheme val="minor"/>
    </font>
    <font>
      <b/>
      <u/>
      <sz val="11"/>
      <color theme="1"/>
      <name val="Calibri"/>
      <family val="2"/>
      <scheme val="minor"/>
    </font>
    <font>
      <i/>
      <sz val="11"/>
      <color theme="1"/>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i/>
      <sz val="10"/>
      <color theme="1"/>
      <name val="Calibri"/>
      <family val="2"/>
      <scheme val="minor"/>
    </font>
    <font>
      <i/>
      <sz val="10"/>
      <color theme="1"/>
      <name val="Calibri"/>
      <family val="2"/>
      <scheme val="minor"/>
    </font>
    <font>
      <i/>
      <sz val="11"/>
      <name val="Calibri"/>
      <family val="2"/>
      <scheme val="minor"/>
    </font>
    <font>
      <sz val="11"/>
      <name val="Calibri"/>
      <family val="2"/>
      <scheme val="minor"/>
    </font>
    <font>
      <b/>
      <sz val="12"/>
      <color theme="1"/>
      <name val="Calibri"/>
      <family val="2"/>
      <scheme val="minor"/>
    </font>
    <font>
      <b/>
      <i/>
      <sz val="10"/>
      <name val="Calibri"/>
      <family val="2"/>
      <scheme val="minor"/>
    </font>
    <font>
      <u/>
      <sz val="11"/>
      <name val="Calibri"/>
      <family val="2"/>
      <scheme val="minor"/>
    </font>
    <font>
      <u/>
      <sz val="11"/>
      <color theme="1"/>
      <name val="Calibri"/>
      <family val="2"/>
      <scheme val="minor"/>
    </font>
    <font>
      <sz val="10"/>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top style="double">
        <color auto="1"/>
      </top>
      <bottom/>
      <diagonal/>
    </border>
    <border>
      <left/>
      <right/>
      <top style="double">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331">
    <xf numFmtId="0" fontId="0" fillId="0" borderId="0" xfId="0"/>
    <xf numFmtId="0" fontId="0" fillId="2" borderId="0" xfId="0" applyFill="1"/>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166" fontId="0" fillId="0" borderId="0" xfId="0" applyNumberFormat="1" applyAlignment="1">
      <alignment horizontal="center"/>
    </xf>
    <xf numFmtId="0" fontId="0" fillId="0" borderId="0" xfId="0" applyBorder="1" applyAlignment="1">
      <alignment horizontal="center"/>
    </xf>
    <xf numFmtId="0" fontId="0" fillId="0" borderId="0" xfId="0" applyFont="1" applyAlignment="1">
      <alignment horizontal="center"/>
    </xf>
    <xf numFmtId="0" fontId="0" fillId="2" borderId="0" xfId="0" applyNumberFormat="1" applyFill="1" applyAlignment="1">
      <alignment horizontal="left"/>
    </xf>
    <xf numFmtId="0" fontId="0" fillId="0" borderId="0" xfId="0" applyFont="1" applyAlignment="1">
      <alignment horizontal="left"/>
    </xf>
    <xf numFmtId="0" fontId="0" fillId="0" borderId="0" xfId="0" applyNumberFormat="1" applyFont="1" applyAlignment="1">
      <alignment horizontal="left" wrapText="1"/>
    </xf>
    <xf numFmtId="0" fontId="0" fillId="0" borderId="6" xfId="0" applyBorder="1" applyAlignment="1">
      <alignment horizontal="center"/>
    </xf>
    <xf numFmtId="0" fontId="0" fillId="0" borderId="7" xfId="0" applyFont="1" applyBorder="1" applyAlignment="1">
      <alignment horizontal="center"/>
    </xf>
    <xf numFmtId="166" fontId="0" fillId="0" borderId="6" xfId="0" applyNumberFormat="1" applyBorder="1" applyAlignment="1">
      <alignment horizontal="center"/>
    </xf>
    <xf numFmtId="166" fontId="0" fillId="0" borderId="7" xfId="0" applyNumberFormat="1" applyBorder="1" applyAlignment="1">
      <alignment horizontal="center"/>
    </xf>
    <xf numFmtId="166" fontId="0" fillId="0" borderId="10" xfId="0" applyNumberFormat="1" applyBorder="1" applyAlignment="1">
      <alignment horizontal="center"/>
    </xf>
    <xf numFmtId="166" fontId="0" fillId="0" borderId="11" xfId="0" applyNumberFormat="1" applyBorder="1" applyAlignment="1">
      <alignment horizontal="center"/>
    </xf>
    <xf numFmtId="166" fontId="0" fillId="0" borderId="7" xfId="0" applyNumberFormat="1" applyFont="1" applyBorder="1" applyAlignment="1">
      <alignment horizontal="center"/>
    </xf>
    <xf numFmtId="166" fontId="0" fillId="0" borderId="6" xfId="0" applyNumberFormat="1" applyFill="1" applyBorder="1" applyAlignment="1">
      <alignment horizontal="center"/>
    </xf>
    <xf numFmtId="0" fontId="0" fillId="0" borderId="7" xfId="0" applyFont="1" applyFill="1" applyBorder="1" applyAlignment="1">
      <alignment horizontal="center"/>
    </xf>
    <xf numFmtId="0" fontId="0" fillId="0" borderId="6" xfId="0" applyFill="1" applyBorder="1" applyAlignment="1">
      <alignment horizontal="center"/>
    </xf>
    <xf numFmtId="166" fontId="0" fillId="0" borderId="7" xfId="0" applyNumberFormat="1" applyFill="1" applyBorder="1" applyAlignment="1">
      <alignment horizontal="center"/>
    </xf>
    <xf numFmtId="166" fontId="0" fillId="0" borderId="8" xfId="0" applyNumberFormat="1" applyBorder="1" applyAlignment="1">
      <alignment horizontal="center"/>
    </xf>
    <xf numFmtId="166" fontId="0" fillId="0" borderId="12" xfId="0" applyNumberFormat="1" applyBorder="1" applyAlignment="1">
      <alignment horizontal="center"/>
    </xf>
    <xf numFmtId="0" fontId="0" fillId="0" borderId="7" xfId="0" applyBorder="1" applyAlignment="1">
      <alignment horizontal="center"/>
    </xf>
    <xf numFmtId="166" fontId="0" fillId="0" borderId="14" xfId="0" applyNumberFormat="1" applyBorder="1" applyAlignment="1">
      <alignment horizontal="center"/>
    </xf>
    <xf numFmtId="3" fontId="0" fillId="0" borderId="7" xfId="0" applyNumberFormat="1" applyFont="1" applyFill="1" applyBorder="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9" fontId="0" fillId="2" borderId="0" xfId="0" applyNumberFormat="1" applyFill="1" applyAlignment="1">
      <alignment horizontal="center" vertical="top"/>
    </xf>
    <xf numFmtId="9" fontId="0" fillId="2" borderId="0" xfId="0" applyNumberFormat="1" applyFill="1" applyAlignment="1">
      <alignment horizontal="center"/>
    </xf>
    <xf numFmtId="165" fontId="0" fillId="2" borderId="0" xfId="0" applyNumberFormat="1" applyFill="1" applyAlignment="1">
      <alignment horizontal="center"/>
    </xf>
    <xf numFmtId="14" fontId="0" fillId="2" borderId="0" xfId="0" applyNumberFormat="1" applyFill="1" applyAlignment="1">
      <alignment horizontal="center"/>
    </xf>
    <xf numFmtId="4" fontId="1" fillId="2" borderId="0" xfId="0" applyNumberFormat="1" applyFont="1" applyFill="1" applyAlignment="1">
      <alignment horizontal="center"/>
    </xf>
    <xf numFmtId="166" fontId="0" fillId="0" borderId="14" xfId="0" applyNumberFormat="1" applyFill="1" applyBorder="1" applyAlignment="1">
      <alignment horizontal="center"/>
    </xf>
    <xf numFmtId="166" fontId="0" fillId="0" borderId="0" xfId="0" applyNumberFormat="1" applyFill="1" applyBorder="1" applyAlignment="1">
      <alignment horizontal="center"/>
    </xf>
    <xf numFmtId="0" fontId="0" fillId="0" borderId="4" xfId="0" applyBorder="1" applyAlignment="1">
      <alignment horizontal="center"/>
    </xf>
    <xf numFmtId="0" fontId="0" fillId="0" borderId="5" xfId="0" applyFont="1" applyBorder="1" applyAlignment="1">
      <alignment horizontal="center"/>
    </xf>
    <xf numFmtId="166" fontId="0" fillId="0" borderId="5" xfId="0" applyNumberFormat="1" applyBorder="1" applyAlignment="1">
      <alignment horizontal="center"/>
    </xf>
    <xf numFmtId="166" fontId="0" fillId="0" borderId="15" xfId="0" applyNumberFormat="1" applyBorder="1" applyAlignment="1">
      <alignment horizontal="center"/>
    </xf>
    <xf numFmtId="166" fontId="0" fillId="0" borderId="15" xfId="0" applyNumberFormat="1" applyFill="1" applyBorder="1" applyAlignment="1">
      <alignment horizontal="center"/>
    </xf>
    <xf numFmtId="0" fontId="3"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166" fontId="0" fillId="0" borderId="10" xfId="0" applyNumberFormat="1" applyFill="1" applyBorder="1" applyAlignment="1">
      <alignment horizontal="center"/>
    </xf>
    <xf numFmtId="166" fontId="0" fillId="0" borderId="11" xfId="0" applyNumberFormat="1" applyFill="1" applyBorder="1" applyAlignment="1">
      <alignment horizontal="center"/>
    </xf>
    <xf numFmtId="166" fontId="0" fillId="0" borderId="7" xfId="0" applyNumberFormat="1" applyFont="1" applyFill="1" applyBorder="1" applyAlignment="1">
      <alignment horizontal="center"/>
    </xf>
    <xf numFmtId="0" fontId="0" fillId="0" borderId="14" xfId="0" applyFill="1" applyBorder="1" applyAlignment="1">
      <alignment horizontal="center"/>
    </xf>
    <xf numFmtId="0" fontId="0" fillId="0" borderId="14"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6" xfId="0" applyFont="1" applyFill="1" applyBorder="1" applyAlignment="1">
      <alignment horizontal="center"/>
    </xf>
    <xf numFmtId="166" fontId="0" fillId="0" borderId="6" xfId="0" applyNumberFormat="1" applyFont="1" applyFill="1" applyBorder="1" applyAlignment="1">
      <alignment horizontal="center"/>
    </xf>
    <xf numFmtId="0" fontId="0" fillId="0" borderId="0" xfId="0" applyFont="1" applyFill="1" applyAlignment="1">
      <alignment horizontal="center"/>
    </xf>
    <xf numFmtId="0" fontId="1" fillId="0" borderId="0" xfId="0" applyFont="1" applyFill="1" applyBorder="1" applyAlignment="1">
      <alignment horizontal="left"/>
    </xf>
    <xf numFmtId="0" fontId="0" fillId="0" borderId="4" xfId="0" applyFont="1" applyFill="1" applyBorder="1" applyAlignment="1">
      <alignment horizontal="center"/>
    </xf>
    <xf numFmtId="166" fontId="0" fillId="0" borderId="8" xfId="0" applyNumberFormat="1" applyFill="1" applyBorder="1" applyAlignment="1">
      <alignment horizont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4" borderId="2" xfId="0" applyFont="1" applyFill="1" applyBorder="1" applyAlignment="1">
      <alignment horizontal="center"/>
    </xf>
    <xf numFmtId="0" fontId="1" fillId="4" borderId="0" xfId="0" applyFont="1" applyFill="1" applyAlignment="1">
      <alignment horizontal="center"/>
    </xf>
    <xf numFmtId="0" fontId="3" fillId="2" borderId="0" xfId="0" applyFont="1" applyFill="1" applyAlignment="1">
      <alignment horizontal="left"/>
    </xf>
    <xf numFmtId="3" fontId="10" fillId="0" borderId="21" xfId="0" applyNumberFormat="1" applyFont="1" applyBorder="1" applyAlignment="1">
      <alignment horizontal="center" vertical="top" wrapText="1"/>
    </xf>
    <xf numFmtId="3" fontId="10" fillId="0" borderId="22" xfId="0" applyNumberFormat="1" applyFont="1" applyBorder="1" applyAlignment="1">
      <alignment horizontal="center" vertical="top" wrapText="1"/>
    </xf>
    <xf numFmtId="3" fontId="10" fillId="0" borderId="21" xfId="0" applyNumberFormat="1" applyFont="1" applyFill="1" applyBorder="1" applyAlignment="1">
      <alignment horizontal="center" vertical="top" wrapText="1"/>
    </xf>
    <xf numFmtId="3" fontId="10" fillId="0" borderId="23" xfId="0" applyNumberFormat="1" applyFont="1" applyFill="1" applyBorder="1" applyAlignment="1">
      <alignment horizontal="center" vertical="top" wrapText="1"/>
    </xf>
    <xf numFmtId="3" fontId="9" fillId="0" borderId="26" xfId="0" applyNumberFormat="1" applyFont="1" applyBorder="1" applyAlignment="1">
      <alignment horizontal="right" vertical="top" wrapText="1"/>
    </xf>
    <xf numFmtId="3" fontId="9" fillId="0" borderId="27" xfId="0" applyNumberFormat="1" applyFont="1" applyBorder="1" applyAlignment="1">
      <alignment horizontal="right" vertical="top" wrapText="1"/>
    </xf>
    <xf numFmtId="0" fontId="0" fillId="0" borderId="25" xfId="0" applyBorder="1" applyAlignment="1">
      <alignment vertical="top"/>
    </xf>
    <xf numFmtId="3" fontId="9" fillId="0" borderId="25" xfId="0" applyNumberFormat="1" applyFont="1" applyBorder="1" applyAlignment="1">
      <alignment vertical="top" wrapText="1"/>
    </xf>
    <xf numFmtId="3" fontId="11" fillId="0" borderId="1" xfId="0" applyNumberFormat="1" applyFont="1" applyBorder="1" applyAlignment="1">
      <alignment vertical="top" wrapText="1"/>
    </xf>
    <xf numFmtId="3" fontId="11" fillId="4" borderId="1" xfId="0" applyNumberFormat="1" applyFont="1" applyFill="1" applyBorder="1" applyAlignment="1">
      <alignment horizontal="right" vertical="top" wrapText="1"/>
    </xf>
    <xf numFmtId="3" fontId="11" fillId="4" borderId="3" xfId="0" applyNumberFormat="1" applyFont="1" applyFill="1" applyBorder="1" applyAlignment="1">
      <alignment horizontal="right" vertical="top" wrapText="1"/>
    </xf>
    <xf numFmtId="3" fontId="11" fillId="4" borderId="2" xfId="0" applyNumberFormat="1" applyFont="1" applyFill="1" applyBorder="1" applyAlignment="1">
      <alignment horizontal="right" vertical="top" wrapText="1"/>
    </xf>
    <xf numFmtId="0" fontId="12" fillId="4" borderId="3" xfId="0" applyFont="1" applyFill="1" applyBorder="1" applyAlignment="1">
      <alignment vertical="top"/>
    </xf>
    <xf numFmtId="3" fontId="6" fillId="0" borderId="0" xfId="0" applyNumberFormat="1" applyFont="1" applyAlignment="1">
      <alignment vertical="top"/>
    </xf>
    <xf numFmtId="3" fontId="7" fillId="0" borderId="31" xfId="0" applyNumberFormat="1" applyFont="1" applyBorder="1" applyAlignment="1">
      <alignment vertical="top"/>
    </xf>
    <xf numFmtId="0" fontId="0" fillId="0" borderId="0" xfId="0" applyFill="1" applyAlignment="1">
      <alignment vertical="top"/>
    </xf>
    <xf numFmtId="0" fontId="0" fillId="0" borderId="0" xfId="0" applyAlignment="1">
      <alignment vertical="top"/>
    </xf>
    <xf numFmtId="0" fontId="0" fillId="2" borderId="0" xfId="0" applyFill="1" applyBorder="1" applyAlignment="1">
      <alignment horizontal="center"/>
    </xf>
    <xf numFmtId="164" fontId="0" fillId="2" borderId="0" xfId="0" applyNumberFormat="1" applyFill="1" applyBorder="1" applyAlignment="1">
      <alignment horizontal="center"/>
    </xf>
    <xf numFmtId="0" fontId="0" fillId="2" borderId="0" xfId="0" applyFill="1" applyBorder="1"/>
    <xf numFmtId="3" fontId="10" fillId="3" borderId="16" xfId="0" applyNumberFormat="1" applyFont="1" applyFill="1" applyBorder="1" applyAlignment="1">
      <alignment horizontal="center" vertical="top"/>
    </xf>
    <xf numFmtId="3" fontId="10" fillId="0" borderId="20" xfId="0" applyNumberFormat="1" applyFont="1" applyBorder="1" applyAlignment="1">
      <alignment vertical="center" wrapText="1"/>
    </xf>
    <xf numFmtId="0" fontId="0" fillId="2" borderId="0" xfId="0" applyFill="1" applyBorder="1" applyAlignment="1">
      <alignment horizontal="left"/>
    </xf>
    <xf numFmtId="0" fontId="1" fillId="0" borderId="0" xfId="0" applyFont="1" applyFill="1"/>
    <xf numFmtId="0" fontId="0" fillId="0" borderId="0" xfId="0" applyFill="1" applyAlignment="1">
      <alignment horizontal="center"/>
    </xf>
    <xf numFmtId="164" fontId="0" fillId="0" borderId="0" xfId="0" applyNumberFormat="1" applyFill="1" applyAlignment="1">
      <alignment horizontal="center"/>
    </xf>
    <xf numFmtId="0" fontId="0" fillId="0" borderId="0" xfId="0" applyFill="1"/>
    <xf numFmtId="0" fontId="0" fillId="0" borderId="0" xfId="0" applyNumberFormat="1" applyFill="1" applyAlignment="1">
      <alignment horizontal="left"/>
    </xf>
    <xf numFmtId="0" fontId="0" fillId="0" borderId="0" xfId="0" applyFill="1" applyBorder="1"/>
    <xf numFmtId="164" fontId="0" fillId="0" borderId="0" xfId="0" applyNumberFormat="1" applyFill="1" applyBorder="1" applyAlignment="1">
      <alignment horizontal="center"/>
    </xf>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16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Fill="1"/>
    <xf numFmtId="165" fontId="0" fillId="0" borderId="0" xfId="0" applyNumberFormat="1" applyFill="1" applyBorder="1"/>
    <xf numFmtId="165" fontId="0" fillId="0" borderId="0" xfId="0" applyNumberFormat="1" applyFill="1" applyAlignment="1">
      <alignment horizontal="center"/>
    </xf>
    <xf numFmtId="0" fontId="0" fillId="0" borderId="0" xfId="0" applyFill="1" applyBorder="1" applyAlignment="1">
      <alignment horizontal="left" wrapText="1"/>
    </xf>
    <xf numFmtId="0" fontId="0" fillId="0" borderId="0" xfId="0" applyNumberFormat="1" applyFill="1" applyBorder="1" applyAlignment="1">
      <alignment horizontal="left"/>
    </xf>
    <xf numFmtId="3" fontId="1" fillId="0" borderId="0" xfId="0" applyNumberFormat="1" applyFont="1" applyFill="1" applyAlignment="1">
      <alignment horizontal="left"/>
    </xf>
    <xf numFmtId="3" fontId="1" fillId="0" borderId="0" xfId="0" applyNumberFormat="1" applyFont="1" applyFill="1"/>
    <xf numFmtId="3" fontId="0" fillId="0" borderId="0" xfId="0" applyNumberFormat="1" applyFill="1"/>
    <xf numFmtId="3" fontId="0" fillId="0" borderId="0" xfId="0" applyNumberFormat="1" applyFill="1" applyAlignment="1">
      <alignment horizontal="left"/>
    </xf>
    <xf numFmtId="49" fontId="0" fillId="0" borderId="0" xfId="1" applyNumberFormat="1" applyFont="1" applyFill="1"/>
    <xf numFmtId="165" fontId="0" fillId="0" borderId="0" xfId="0" applyNumberFormat="1" applyFill="1" applyAlignment="1">
      <alignment horizontal="left"/>
    </xf>
    <xf numFmtId="165" fontId="0" fillId="2" borderId="0" xfId="0" applyNumberFormat="1" applyFill="1" applyBorder="1" applyAlignment="1">
      <alignment horizontal="center"/>
    </xf>
    <xf numFmtId="14" fontId="0" fillId="2" borderId="0" xfId="0" applyNumberFormat="1" applyFill="1" applyBorder="1" applyAlignment="1">
      <alignment horizontal="center"/>
    </xf>
    <xf numFmtId="14" fontId="0" fillId="2" borderId="0" xfId="0" applyNumberFormat="1" applyFill="1" applyBorder="1" applyAlignment="1">
      <alignment horizontal="left"/>
    </xf>
    <xf numFmtId="167" fontId="0" fillId="0" borderId="0" xfId="0" applyNumberFormat="1" applyFill="1" applyBorder="1" applyAlignment="1">
      <alignment horizontal="center"/>
    </xf>
    <xf numFmtId="165" fontId="0" fillId="0" borderId="0" xfId="0" applyNumberFormat="1" applyFill="1" applyBorder="1" applyAlignment="1">
      <alignment horizontal="center"/>
    </xf>
    <xf numFmtId="165" fontId="9" fillId="0" borderId="26" xfId="0" applyNumberFormat="1" applyFont="1" applyFill="1" applyBorder="1" applyAlignment="1">
      <alignment horizontal="right" vertical="top" wrapText="1"/>
    </xf>
    <xf numFmtId="165" fontId="9" fillId="0" borderId="27" xfId="0" applyNumberFormat="1" applyFont="1" applyFill="1" applyBorder="1" applyAlignment="1">
      <alignment horizontal="right" vertical="top" wrapText="1"/>
    </xf>
    <xf numFmtId="165" fontId="9" fillId="0" borderId="29" xfId="0" applyNumberFormat="1" applyFont="1" applyFill="1" applyBorder="1" applyAlignment="1">
      <alignment horizontal="right" vertical="top" wrapText="1"/>
    </xf>
    <xf numFmtId="0" fontId="5" fillId="0" borderId="0" xfId="0" applyFont="1" applyFill="1" applyAlignment="1">
      <alignment horizontal="left"/>
    </xf>
    <xf numFmtId="164" fontId="4" fillId="0" borderId="0" xfId="0" applyNumberFormat="1" applyFont="1" applyFill="1" applyAlignment="1">
      <alignment horizontal="center"/>
    </xf>
    <xf numFmtId="165" fontId="4" fillId="0" borderId="0" xfId="0" applyNumberFormat="1" applyFont="1" applyFill="1" applyAlignment="1">
      <alignment horizontal="center"/>
    </xf>
    <xf numFmtId="0" fontId="4" fillId="0" borderId="0" xfId="0" applyFont="1" applyFill="1" applyBorder="1"/>
    <xf numFmtId="0" fontId="13" fillId="0" borderId="0" xfId="0" applyFont="1" applyFill="1" applyAlignment="1">
      <alignment horizontal="left"/>
    </xf>
    <xf numFmtId="164" fontId="14" fillId="0" borderId="0" xfId="0" applyNumberFormat="1" applyFont="1" applyFill="1" applyAlignment="1">
      <alignment horizontal="center"/>
    </xf>
    <xf numFmtId="165" fontId="14" fillId="0" borderId="0" xfId="0" applyNumberFormat="1" applyFont="1" applyFill="1" applyAlignment="1">
      <alignment horizontal="center"/>
    </xf>
    <xf numFmtId="0" fontId="14" fillId="0" borderId="0" xfId="0" applyFont="1" applyFill="1" applyBorder="1"/>
    <xf numFmtId="0" fontId="0" fillId="2" borderId="0" xfId="0" applyFont="1" applyFill="1" applyBorder="1" applyAlignment="1">
      <alignment horizontal="left" vertical="top"/>
    </xf>
    <xf numFmtId="0" fontId="1" fillId="0" borderId="24" xfId="0" applyFont="1" applyBorder="1" applyAlignment="1">
      <alignment horizontal="center" vertical="top" wrapText="1"/>
    </xf>
    <xf numFmtId="0" fontId="0" fillId="0" borderId="0" xfId="0" applyFill="1" applyBorder="1" applyAlignment="1">
      <alignment horizontal="right"/>
    </xf>
    <xf numFmtId="0" fontId="1" fillId="2" borderId="0" xfId="0" applyFont="1" applyFill="1" applyAlignment="1">
      <alignment horizontal="left"/>
    </xf>
    <xf numFmtId="0" fontId="0" fillId="0" borderId="0" xfId="0" applyFont="1"/>
    <xf numFmtId="3" fontId="10" fillId="0" borderId="24" xfId="0" applyNumberFormat="1" applyFont="1" applyBorder="1" applyAlignment="1">
      <alignment vertical="center" wrapText="1"/>
    </xf>
    <xf numFmtId="3" fontId="10" fillId="0" borderId="37"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3" fontId="10" fillId="0" borderId="38" xfId="0" applyNumberFormat="1" applyFont="1" applyBorder="1" applyAlignment="1">
      <alignment horizontal="center" vertical="center" wrapText="1"/>
    </xf>
    <xf numFmtId="3" fontId="10" fillId="0" borderId="27" xfId="0" applyNumberFormat="1" applyFont="1" applyBorder="1" applyAlignment="1">
      <alignment horizontal="center" vertical="top" wrapText="1"/>
    </xf>
    <xf numFmtId="3" fontId="10" fillId="0" borderId="26" xfId="0" applyNumberFormat="1" applyFont="1" applyFill="1" applyBorder="1" applyAlignment="1">
      <alignment horizontal="center" vertical="top" wrapText="1"/>
    </xf>
    <xf numFmtId="3" fontId="10" fillId="0" borderId="39" xfId="0" applyNumberFormat="1" applyFont="1" applyFill="1" applyBorder="1" applyAlignment="1">
      <alignment horizontal="center" vertical="top" wrapText="1"/>
    </xf>
    <xf numFmtId="3" fontId="10" fillId="0" borderId="26" xfId="0" applyNumberFormat="1" applyFont="1" applyBorder="1" applyAlignment="1">
      <alignment horizontal="center" vertical="top" wrapText="1"/>
    </xf>
    <xf numFmtId="165" fontId="9" fillId="0" borderId="37" xfId="0" applyNumberFormat="1" applyFont="1" applyBorder="1" applyAlignment="1">
      <alignment horizontal="right" vertical="top" wrapText="1"/>
    </xf>
    <xf numFmtId="165" fontId="9" fillId="0" borderId="39" xfId="0" applyNumberFormat="1" applyFont="1" applyBorder="1" applyAlignment="1">
      <alignment horizontal="right" vertical="top" wrapText="1"/>
    </xf>
    <xf numFmtId="165" fontId="9" fillId="0" borderId="40" xfId="0" applyNumberFormat="1" applyFont="1" applyBorder="1" applyAlignment="1">
      <alignment horizontal="right" vertical="top" wrapText="1"/>
    </xf>
    <xf numFmtId="165" fontId="9" fillId="0" borderId="28" xfId="0" applyNumberFormat="1" applyFont="1" applyFill="1" applyBorder="1" applyAlignment="1">
      <alignment horizontal="right" vertical="top" wrapText="1"/>
    </xf>
    <xf numFmtId="165" fontId="10" fillId="0" borderId="29" xfId="0" applyNumberFormat="1" applyFont="1" applyFill="1" applyBorder="1" applyAlignment="1">
      <alignment horizontal="right" vertical="top" wrapText="1"/>
    </xf>
    <xf numFmtId="165" fontId="9" fillId="0" borderId="37" xfId="0" applyNumberFormat="1" applyFont="1" applyFill="1" applyBorder="1" applyAlignment="1">
      <alignment horizontal="right" vertical="top" wrapText="1"/>
    </xf>
    <xf numFmtId="165" fontId="9" fillId="0" borderId="39" xfId="0" applyNumberFormat="1" applyFont="1" applyFill="1" applyBorder="1" applyAlignment="1">
      <alignment horizontal="right" vertical="top" wrapText="1"/>
    </xf>
    <xf numFmtId="165" fontId="9" fillId="0" borderId="40" xfId="0" applyNumberFormat="1" applyFont="1" applyFill="1" applyBorder="1" applyAlignment="1">
      <alignment horizontal="right" vertical="top" wrapText="1"/>
    </xf>
    <xf numFmtId="165" fontId="9" fillId="0" borderId="41" xfId="0" applyNumberFormat="1" applyFont="1" applyFill="1" applyBorder="1" applyAlignment="1">
      <alignment horizontal="right" vertical="top" wrapText="1"/>
    </xf>
    <xf numFmtId="165" fontId="9" fillId="0" borderId="42" xfId="0" applyNumberFormat="1" applyFont="1" applyFill="1" applyBorder="1" applyAlignment="1">
      <alignment horizontal="right" vertical="top" wrapText="1"/>
    </xf>
    <xf numFmtId="165" fontId="11" fillId="0" borderId="30" xfId="0" applyNumberFormat="1" applyFont="1" applyFill="1" applyBorder="1" applyAlignment="1">
      <alignment horizontal="right" vertical="top" wrapText="1"/>
    </xf>
    <xf numFmtId="165" fontId="10" fillId="0" borderId="26" xfId="0" applyNumberFormat="1" applyFont="1" applyFill="1" applyBorder="1" applyAlignment="1">
      <alignment horizontal="center" vertical="top" wrapText="1"/>
    </xf>
    <xf numFmtId="165" fontId="10" fillId="0" borderId="39" xfId="0" applyNumberFormat="1" applyFont="1" applyFill="1" applyBorder="1" applyAlignment="1">
      <alignment horizontal="center" vertical="top" wrapText="1"/>
    </xf>
    <xf numFmtId="165" fontId="9" fillId="0" borderId="43" xfId="0" applyNumberFormat="1" applyFont="1" applyFill="1" applyBorder="1" applyAlignment="1">
      <alignment horizontal="right" vertical="top" wrapText="1"/>
    </xf>
    <xf numFmtId="0" fontId="0" fillId="0" borderId="29" xfId="0" applyBorder="1"/>
    <xf numFmtId="167" fontId="0" fillId="2" borderId="0" xfId="1" applyNumberFormat="1" applyFont="1" applyFill="1" applyBorder="1" applyAlignment="1">
      <alignment horizontal="right"/>
    </xf>
    <xf numFmtId="0" fontId="1" fillId="0" borderId="0" xfId="0" applyFont="1" applyFill="1" applyAlignment="1">
      <alignment horizontal="center"/>
    </xf>
    <xf numFmtId="165" fontId="15" fillId="0" borderId="0" xfId="0" applyNumberFormat="1" applyFont="1" applyFill="1" applyAlignment="1">
      <alignment horizontal="center"/>
    </xf>
    <xf numFmtId="0" fontId="16" fillId="0" borderId="0" xfId="0" applyNumberFormat="1" applyFont="1" applyFill="1" applyAlignment="1">
      <alignment horizontal="left"/>
    </xf>
    <xf numFmtId="0" fontId="15" fillId="0" borderId="0" xfId="0" applyFont="1" applyFill="1" applyBorder="1"/>
    <xf numFmtId="0" fontId="15" fillId="0" borderId="43" xfId="0" applyFont="1" applyFill="1" applyBorder="1"/>
    <xf numFmtId="166" fontId="0" fillId="0" borderId="12" xfId="0" applyNumberFormat="1" applyFill="1" applyBorder="1" applyAlignment="1">
      <alignment horizontal="center"/>
    </xf>
    <xf numFmtId="3" fontId="10" fillId="0" borderId="33" xfId="0" applyNumberFormat="1" applyFont="1" applyBorder="1" applyAlignment="1">
      <alignment horizontal="center" vertical="top" wrapText="1"/>
    </xf>
    <xf numFmtId="3" fontId="10" fillId="0" borderId="44" xfId="0" applyNumberFormat="1" applyFont="1" applyBorder="1" applyAlignment="1">
      <alignment horizontal="center" vertical="top" wrapText="1"/>
    </xf>
    <xf numFmtId="3" fontId="9" fillId="0" borderId="44" xfId="0" applyNumberFormat="1" applyFont="1" applyBorder="1" applyAlignment="1">
      <alignment horizontal="right" vertical="top" wrapText="1"/>
    </xf>
    <xf numFmtId="0" fontId="3" fillId="2" borderId="0" xfId="0" applyFont="1" applyFill="1" applyBorder="1" applyAlignment="1">
      <alignment horizontal="left" vertical="top" wrapText="1"/>
    </xf>
    <xf numFmtId="0" fontId="17" fillId="0" borderId="0" xfId="0" applyFont="1" applyAlignment="1">
      <alignment horizontal="left"/>
    </xf>
    <xf numFmtId="0" fontId="1" fillId="5" borderId="38" xfId="0" applyFont="1" applyFill="1" applyBorder="1" applyAlignment="1">
      <alignment horizontal="left"/>
    </xf>
    <xf numFmtId="0" fontId="0" fillId="5" borderId="45" xfId="0" applyFill="1" applyBorder="1" applyAlignment="1">
      <alignment horizontal="center"/>
    </xf>
    <xf numFmtId="164" fontId="0" fillId="5" borderId="45" xfId="0" applyNumberFormat="1" applyFill="1" applyBorder="1" applyAlignment="1">
      <alignment horizontal="center"/>
    </xf>
    <xf numFmtId="0" fontId="0" fillId="5" borderId="45" xfId="0" applyFill="1" applyBorder="1"/>
    <xf numFmtId="0" fontId="0" fillId="5" borderId="46" xfId="0" applyNumberFormat="1" applyFill="1" applyBorder="1" applyAlignment="1">
      <alignment horizontal="left"/>
    </xf>
    <xf numFmtId="0" fontId="1" fillId="2" borderId="47" xfId="0" applyFont="1" applyFill="1" applyBorder="1" applyAlignment="1">
      <alignment horizontal="left"/>
    </xf>
    <xf numFmtId="0" fontId="0" fillId="2" borderId="48" xfId="0" applyFill="1" applyBorder="1" applyAlignment="1">
      <alignment horizontal="center"/>
    </xf>
    <xf numFmtId="164" fontId="0" fillId="2" borderId="48" xfId="0" applyNumberFormat="1" applyFill="1" applyBorder="1" applyAlignment="1">
      <alignment horizontal="center"/>
    </xf>
    <xf numFmtId="0" fontId="0" fillId="2" borderId="48" xfId="0" applyFill="1" applyBorder="1"/>
    <xf numFmtId="0" fontId="0" fillId="2" borderId="49" xfId="0" applyNumberFormat="1" applyFill="1" applyBorder="1" applyAlignment="1">
      <alignment horizontal="left"/>
    </xf>
    <xf numFmtId="0" fontId="3" fillId="2" borderId="51" xfId="0" applyFont="1" applyFill="1" applyBorder="1" applyAlignment="1">
      <alignment horizontal="left" vertical="top" wrapText="1"/>
    </xf>
    <xf numFmtId="0" fontId="0" fillId="2" borderId="51" xfId="0" applyNumberFormat="1" applyFill="1" applyBorder="1" applyAlignment="1">
      <alignment horizontal="left"/>
    </xf>
    <xf numFmtId="0" fontId="0" fillId="0" borderId="50"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2" borderId="40" xfId="0" applyFont="1" applyFill="1" applyBorder="1" applyAlignment="1">
      <alignment horizontal="left"/>
    </xf>
    <xf numFmtId="0" fontId="0" fillId="2" borderId="43" xfId="0" applyFill="1" applyBorder="1" applyAlignment="1">
      <alignment horizontal="left"/>
    </xf>
    <xf numFmtId="0" fontId="0" fillId="2" borderId="43" xfId="0" applyFill="1" applyBorder="1" applyAlignment="1">
      <alignment horizontal="center"/>
    </xf>
    <xf numFmtId="164" fontId="0" fillId="2" borderId="43" xfId="0" applyNumberFormat="1" applyFill="1" applyBorder="1" applyAlignment="1">
      <alignment horizontal="center"/>
    </xf>
    <xf numFmtId="0" fontId="0" fillId="2" borderId="43" xfId="0" applyFill="1" applyBorder="1"/>
    <xf numFmtId="0" fontId="0" fillId="2" borderId="44" xfId="0" applyNumberFormat="1" applyFill="1" applyBorder="1" applyAlignment="1">
      <alignment horizontal="left"/>
    </xf>
    <xf numFmtId="164" fontId="0" fillId="5" borderId="46" xfId="0" applyNumberFormat="1" applyFill="1" applyBorder="1" applyAlignment="1">
      <alignment horizontal="center"/>
    </xf>
    <xf numFmtId="167" fontId="0" fillId="2" borderId="47" xfId="1" applyNumberFormat="1" applyFont="1" applyFill="1" applyBorder="1" applyAlignment="1">
      <alignment horizontal="right"/>
    </xf>
    <xf numFmtId="0" fontId="0" fillId="2" borderId="48" xfId="0" applyFill="1" applyBorder="1" applyAlignment="1">
      <alignment horizontal="left"/>
    </xf>
    <xf numFmtId="164" fontId="0" fillId="2" borderId="49" xfId="0" applyNumberFormat="1" applyFill="1" applyBorder="1" applyAlignment="1">
      <alignment horizontal="center"/>
    </xf>
    <xf numFmtId="165" fontId="0" fillId="2" borderId="50" xfId="1" applyNumberFormat="1" applyFont="1" applyFill="1" applyBorder="1" applyAlignment="1">
      <alignment horizontal="right"/>
    </xf>
    <xf numFmtId="164" fontId="0" fillId="2" borderId="51" xfId="0" applyNumberFormat="1" applyFill="1" applyBorder="1" applyAlignment="1">
      <alignment horizontal="center"/>
    </xf>
    <xf numFmtId="167" fontId="0" fillId="2" borderId="50" xfId="1" applyNumberFormat="1" applyFont="1" applyFill="1" applyBorder="1" applyAlignment="1">
      <alignment horizontal="right"/>
    </xf>
    <xf numFmtId="167" fontId="0" fillId="2" borderId="40" xfId="1" applyNumberFormat="1" applyFont="1" applyFill="1" applyBorder="1" applyAlignment="1">
      <alignment horizontal="right"/>
    </xf>
    <xf numFmtId="164" fontId="0" fillId="2" borderId="44" xfId="0" applyNumberFormat="1" applyFill="1" applyBorder="1" applyAlignment="1">
      <alignment horizontal="center"/>
    </xf>
    <xf numFmtId="0" fontId="0" fillId="5" borderId="46" xfId="0" applyFill="1" applyBorder="1" applyAlignment="1">
      <alignment horizontal="center"/>
    </xf>
    <xf numFmtId="0" fontId="0" fillId="2" borderId="47" xfId="0" applyFill="1" applyBorder="1"/>
    <xf numFmtId="0" fontId="1" fillId="2" borderId="48" xfId="0" applyFont="1" applyFill="1" applyBorder="1" applyAlignment="1">
      <alignment horizontal="center"/>
    </xf>
    <xf numFmtId="164" fontId="1" fillId="2" borderId="48" xfId="0" applyNumberFormat="1" applyFont="1" applyFill="1" applyBorder="1" applyAlignment="1">
      <alignment horizontal="center"/>
    </xf>
    <xf numFmtId="0" fontId="1" fillId="2" borderId="49" xfId="0" applyFont="1" applyFill="1" applyBorder="1" applyAlignment="1">
      <alignment horizontal="center"/>
    </xf>
    <xf numFmtId="0" fontId="0" fillId="2" borderId="50" xfId="0" applyFill="1" applyBorder="1"/>
    <xf numFmtId="3" fontId="0" fillId="2" borderId="51" xfId="0" applyNumberFormat="1" applyFill="1" applyBorder="1" applyAlignment="1">
      <alignment horizontal="center"/>
    </xf>
    <xf numFmtId="3" fontId="0" fillId="2" borderId="44" xfId="0" applyNumberFormat="1" applyFill="1" applyBorder="1" applyAlignment="1">
      <alignment horizontal="center"/>
    </xf>
    <xf numFmtId="0" fontId="0" fillId="2" borderId="40" xfId="0" applyFill="1" applyBorder="1"/>
    <xf numFmtId="165" fontId="0" fillId="2" borderId="43" xfId="0" applyNumberFormat="1" applyFill="1" applyBorder="1" applyAlignment="1">
      <alignment horizontal="center"/>
    </xf>
    <xf numFmtId="14" fontId="0" fillId="2" borderId="43" xfId="0" applyNumberFormat="1" applyFill="1" applyBorder="1" applyAlignment="1">
      <alignment horizontal="center"/>
    </xf>
    <xf numFmtId="3" fontId="1" fillId="2" borderId="44" xfId="0" applyNumberFormat="1" applyFont="1" applyFill="1" applyBorder="1" applyAlignment="1">
      <alignment horizontal="center"/>
    </xf>
    <xf numFmtId="0" fontId="2" fillId="5" borderId="38" xfId="0" applyFont="1" applyFill="1" applyBorder="1"/>
    <xf numFmtId="0" fontId="1" fillId="0" borderId="47" xfId="0" applyFont="1" applyFill="1" applyBorder="1" applyAlignment="1">
      <alignment horizontal="left"/>
    </xf>
    <xf numFmtId="0" fontId="0" fillId="0" borderId="48" xfId="0" applyFill="1" applyBorder="1"/>
    <xf numFmtId="0" fontId="0" fillId="0" borderId="49" xfId="0" applyFill="1" applyBorder="1"/>
    <xf numFmtId="3" fontId="1" fillId="0" borderId="50" xfId="0" applyNumberFormat="1" applyFont="1" applyFill="1" applyBorder="1" applyAlignment="1">
      <alignment horizontal="left"/>
    </xf>
    <xf numFmtId="0" fontId="0" fillId="0" borderId="51" xfId="0" applyFill="1" applyBorder="1"/>
    <xf numFmtId="0" fontId="0" fillId="0" borderId="50" xfId="0" applyFill="1" applyBorder="1" applyAlignment="1">
      <alignment horizontal="center"/>
    </xf>
    <xf numFmtId="0" fontId="1" fillId="0" borderId="50" xfId="0" applyFont="1" applyFill="1" applyBorder="1" applyAlignment="1">
      <alignment horizontal="right"/>
    </xf>
    <xf numFmtId="0" fontId="1" fillId="0" borderId="51" xfId="0" applyFont="1" applyFill="1" applyBorder="1" applyAlignment="1">
      <alignment horizontal="right"/>
    </xf>
    <xf numFmtId="0" fontId="0" fillId="0" borderId="50" xfId="0" applyNumberFormat="1" applyFill="1" applyBorder="1" applyAlignment="1">
      <alignment horizontal="right"/>
    </xf>
    <xf numFmtId="165" fontId="0" fillId="0" borderId="51" xfId="0" applyNumberFormat="1" applyFill="1" applyBorder="1" applyAlignment="1">
      <alignment horizontal="right"/>
    </xf>
    <xf numFmtId="0" fontId="0" fillId="0" borderId="40" xfId="0" applyNumberFormat="1" applyFill="1" applyBorder="1" applyAlignment="1">
      <alignment horizontal="right"/>
    </xf>
    <xf numFmtId="165" fontId="0" fillId="0" borderId="43" xfId="0" applyNumberFormat="1" applyFill="1" applyBorder="1" applyAlignment="1">
      <alignment horizontal="right"/>
    </xf>
    <xf numFmtId="165" fontId="0" fillId="0" borderId="44" xfId="0" applyNumberFormat="1" applyFill="1" applyBorder="1" applyAlignment="1">
      <alignment horizontal="right"/>
    </xf>
    <xf numFmtId="0" fontId="2" fillId="5" borderId="38" xfId="0" applyNumberFormat="1" applyFont="1" applyFill="1" applyBorder="1" applyAlignment="1">
      <alignment horizontal="left"/>
    </xf>
    <xf numFmtId="0" fontId="0" fillId="5" borderId="45" xfId="0" applyNumberFormat="1" applyFill="1" applyBorder="1" applyAlignment="1">
      <alignment horizontal="left"/>
    </xf>
    <xf numFmtId="0" fontId="0" fillId="5" borderId="46" xfId="0" applyFill="1" applyBorder="1"/>
    <xf numFmtId="4" fontId="1" fillId="0" borderId="47" xfId="0" applyNumberFormat="1" applyFont="1" applyFill="1" applyBorder="1" applyAlignment="1">
      <alignment horizontal="left"/>
    </xf>
    <xf numFmtId="0" fontId="1" fillId="0" borderId="48" xfId="0" applyFont="1" applyFill="1" applyBorder="1"/>
    <xf numFmtId="0" fontId="0" fillId="0" borderId="50" xfId="0" applyNumberFormat="1" applyFill="1" applyBorder="1" applyAlignment="1">
      <alignment horizontal="left"/>
    </xf>
    <xf numFmtId="0" fontId="4" fillId="0" borderId="51" xfId="0" applyFont="1" applyFill="1" applyBorder="1"/>
    <xf numFmtId="165" fontId="4" fillId="0" borderId="51" xfId="0" applyNumberFormat="1" applyFont="1" applyFill="1" applyBorder="1"/>
    <xf numFmtId="0" fontId="0" fillId="0" borderId="40" xfId="0" applyNumberFormat="1" applyFill="1" applyBorder="1" applyAlignment="1">
      <alignment horizontal="left"/>
    </xf>
    <xf numFmtId="165" fontId="0" fillId="0" borderId="43" xfId="0" applyNumberFormat="1" applyFill="1" applyBorder="1"/>
    <xf numFmtId="165" fontId="4" fillId="0" borderId="44" xfId="0" applyNumberFormat="1" applyFont="1" applyFill="1" applyBorder="1"/>
    <xf numFmtId="165" fontId="14" fillId="0" borderId="38" xfId="0" applyNumberFormat="1" applyFont="1" applyFill="1" applyBorder="1"/>
    <xf numFmtId="0" fontId="14" fillId="0" borderId="45" xfId="0" applyFont="1" applyFill="1" applyBorder="1"/>
    <xf numFmtId="0" fontId="14" fillId="0" borderId="46" xfId="0" applyFont="1" applyFill="1" applyBorder="1"/>
    <xf numFmtId="165" fontId="14" fillId="0" borderId="50" xfId="0" applyNumberFormat="1" applyFont="1" applyFill="1" applyBorder="1"/>
    <xf numFmtId="0" fontId="14" fillId="0" borderId="51" xfId="0" applyFont="1" applyFill="1" applyBorder="1"/>
    <xf numFmtId="0" fontId="14" fillId="0" borderId="43" xfId="0" applyFont="1" applyFill="1" applyBorder="1"/>
    <xf numFmtId="0" fontId="14" fillId="0" borderId="44" xfId="0" applyFont="1" applyFill="1" applyBorder="1"/>
    <xf numFmtId="3" fontId="1" fillId="0" borderId="47" xfId="0" applyNumberFormat="1" applyFont="1" applyFill="1" applyBorder="1" applyAlignment="1">
      <alignment horizontal="left"/>
    </xf>
    <xf numFmtId="165" fontId="0" fillId="0" borderId="51" xfId="0" applyNumberFormat="1" applyFill="1" applyBorder="1"/>
    <xf numFmtId="0" fontId="0" fillId="0" borderId="43" xfId="0" applyFill="1" applyBorder="1"/>
    <xf numFmtId="165" fontId="0" fillId="0" borderId="44" xfId="0" applyNumberFormat="1" applyFill="1" applyBorder="1"/>
    <xf numFmtId="165" fontId="15" fillId="0" borderId="38" xfId="0" applyNumberFormat="1" applyFont="1" applyFill="1" applyBorder="1"/>
    <xf numFmtId="0" fontId="15" fillId="0" borderId="45" xfId="0" applyFont="1" applyFill="1" applyBorder="1"/>
    <xf numFmtId="0" fontId="15" fillId="0" borderId="46" xfId="0" applyFont="1" applyFill="1" applyBorder="1"/>
    <xf numFmtId="165" fontId="15" fillId="0" borderId="47" xfId="0" applyNumberFormat="1" applyFont="1" applyFill="1" applyBorder="1"/>
    <xf numFmtId="0" fontId="15" fillId="0" borderId="48" xfId="0" applyFont="1" applyFill="1" applyBorder="1"/>
    <xf numFmtId="0" fontId="15" fillId="0" borderId="49" xfId="0" applyFont="1" applyFill="1" applyBorder="1"/>
    <xf numFmtId="165" fontId="15" fillId="0" borderId="50" xfId="0" applyNumberFormat="1" applyFont="1" applyFill="1" applyBorder="1"/>
    <xf numFmtId="0" fontId="15" fillId="0" borderId="51" xfId="0" applyFont="1" applyFill="1" applyBorder="1"/>
    <xf numFmtId="165" fontId="16" fillId="0" borderId="40" xfId="0" applyNumberFormat="1" applyFont="1" applyFill="1" applyBorder="1"/>
    <xf numFmtId="0" fontId="16" fillId="0" borderId="44" xfId="0" applyFont="1" applyFill="1" applyBorder="1"/>
    <xf numFmtId="165" fontId="15" fillId="0" borderId="40" xfId="0" applyNumberFormat="1" applyFont="1" applyFill="1" applyBorder="1"/>
    <xf numFmtId="0" fontId="15" fillId="0" borderId="44" xfId="0" applyFont="1" applyFill="1" applyBorder="1"/>
    <xf numFmtId="0" fontId="18" fillId="0" borderId="0" xfId="0" applyFont="1" applyFill="1" applyAlignment="1">
      <alignment horizontal="left"/>
    </xf>
    <xf numFmtId="0" fontId="1" fillId="0" borderId="47" xfId="0" applyFont="1" applyFill="1" applyBorder="1" applyAlignment="1">
      <alignment horizontal="right"/>
    </xf>
    <xf numFmtId="0" fontId="1" fillId="0" borderId="48" xfId="0" applyFont="1" applyFill="1" applyBorder="1" applyAlignment="1">
      <alignment horizontal="center"/>
    </xf>
    <xf numFmtId="0" fontId="1" fillId="0" borderId="48" xfId="0" applyFont="1" applyFill="1" applyBorder="1" applyAlignment="1">
      <alignment horizontal="left"/>
    </xf>
    <xf numFmtId="0" fontId="0" fillId="0" borderId="50" xfId="0" applyFill="1" applyBorder="1"/>
    <xf numFmtId="0" fontId="0" fillId="0" borderId="40" xfId="0" applyFill="1" applyBorder="1"/>
    <xf numFmtId="167" fontId="0" fillId="0" borderId="43" xfId="0" applyNumberFormat="1" applyFill="1" applyBorder="1" applyAlignment="1">
      <alignment horizontal="center"/>
    </xf>
    <xf numFmtId="165" fontId="0" fillId="0" borderId="43" xfId="0" applyNumberFormat="1" applyFill="1" applyBorder="1" applyAlignment="1">
      <alignment horizontal="center"/>
    </xf>
    <xf numFmtId="0" fontId="0" fillId="0" borderId="44" xfId="0" applyFill="1" applyBorder="1"/>
    <xf numFmtId="0" fontId="0" fillId="2" borderId="0" xfId="0" applyFont="1" applyFill="1" applyAlignment="1">
      <alignment horizontal="left"/>
    </xf>
    <xf numFmtId="167" fontId="0" fillId="2" borderId="0" xfId="1" applyNumberFormat="1" applyFont="1" applyFill="1" applyBorder="1" applyAlignment="1">
      <alignment horizontal="left"/>
    </xf>
    <xf numFmtId="0" fontId="0" fillId="0" borderId="0" xfId="0" applyFill="1" applyAlignment="1">
      <alignment horizontal="left"/>
    </xf>
    <xf numFmtId="0" fontId="16" fillId="0" borderId="0" xfId="0" applyFont="1"/>
    <xf numFmtId="0" fontId="16" fillId="0" borderId="0" xfId="0" applyFont="1" applyAlignment="1">
      <alignment horizontal="left"/>
    </xf>
    <xf numFmtId="0" fontId="16"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9" fillId="0" borderId="51" xfId="0" applyFont="1" applyFill="1" applyBorder="1" applyAlignment="1">
      <alignment horizontal="left" vertical="top" wrapText="1"/>
    </xf>
    <xf numFmtId="0" fontId="0" fillId="0" borderId="0" xfId="0" applyFont="1" applyFill="1"/>
    <xf numFmtId="0" fontId="0" fillId="2" borderId="50" xfId="0" applyFont="1" applyFill="1" applyBorder="1" applyAlignment="1">
      <alignment horizontal="center"/>
    </xf>
    <xf numFmtId="0" fontId="0" fillId="0" borderId="50" xfId="0" applyFont="1" applyFill="1" applyBorder="1" applyAlignment="1">
      <alignment horizontal="center" vertical="top" wrapText="1"/>
    </xf>
    <xf numFmtId="0" fontId="1" fillId="0" borderId="50" xfId="0" applyFont="1" applyFill="1" applyBorder="1" applyAlignment="1">
      <alignment horizontal="left"/>
    </xf>
    <xf numFmtId="0" fontId="0" fillId="0" borderId="51" xfId="0" applyNumberFormat="1" applyFill="1" applyBorder="1" applyAlignment="1">
      <alignment horizontal="left"/>
    </xf>
    <xf numFmtId="0" fontId="0" fillId="0" borderId="50" xfId="0" applyFont="1" applyFill="1" applyBorder="1" applyAlignment="1">
      <alignment horizontal="left"/>
    </xf>
    <xf numFmtId="164" fontId="0" fillId="0" borderId="0" xfId="0" applyNumberFormat="1" applyFont="1" applyFill="1" applyBorder="1" applyAlignment="1">
      <alignment horizontal="center"/>
    </xf>
    <xf numFmtId="0" fontId="0" fillId="0" borderId="0" xfId="0" applyFont="1" applyFill="1" applyBorder="1"/>
    <xf numFmtId="0" fontId="0" fillId="0" borderId="51" xfId="0" applyNumberFormat="1" applyFont="1" applyFill="1" applyBorder="1" applyAlignment="1">
      <alignment horizontal="left"/>
    </xf>
    <xf numFmtId="0" fontId="0" fillId="0" borderId="50" xfId="0" applyFont="1" applyFill="1" applyBorder="1" applyAlignment="1">
      <alignment horizontal="center"/>
    </xf>
    <xf numFmtId="0" fontId="0" fillId="0" borderId="0" xfId="0" applyFill="1" applyBorder="1" applyAlignment="1">
      <alignment horizontal="left"/>
    </xf>
    <xf numFmtId="0" fontId="4" fillId="0" borderId="50" xfId="0" applyFont="1" applyFill="1" applyBorder="1" applyAlignment="1">
      <alignment horizontal="left"/>
    </xf>
    <xf numFmtId="0" fontId="20" fillId="0" borderId="50" xfId="0" applyFont="1" applyFill="1" applyBorder="1" applyAlignment="1">
      <alignment horizontal="center"/>
    </xf>
    <xf numFmtId="0" fontId="0" fillId="2" borderId="47" xfId="0" applyFill="1" applyBorder="1" applyAlignment="1">
      <alignment horizontal="left"/>
    </xf>
    <xf numFmtId="14" fontId="0" fillId="2" borderId="49" xfId="0" applyNumberFormat="1" applyFill="1" applyBorder="1" applyAlignment="1">
      <alignment horizontal="center"/>
    </xf>
    <xf numFmtId="0" fontId="0" fillId="2" borderId="40" xfId="0" applyFill="1" applyBorder="1" applyAlignment="1">
      <alignment horizontal="left"/>
    </xf>
    <xf numFmtId="9" fontId="0" fillId="2" borderId="44" xfId="0" applyNumberFormat="1" applyFill="1" applyBorder="1" applyAlignment="1">
      <alignment horizontal="center" vertical="top"/>
    </xf>
    <xf numFmtId="0" fontId="0" fillId="2" borderId="0" xfId="1" applyNumberFormat="1" applyFont="1" applyFill="1" applyBorder="1" applyAlignment="1">
      <alignment horizontal="left"/>
    </xf>
    <xf numFmtId="0" fontId="20" fillId="2" borderId="0" xfId="0" applyFont="1" applyFill="1" applyBorder="1" applyAlignment="1">
      <alignment horizontal="center"/>
    </xf>
    <xf numFmtId="3" fontId="1" fillId="2" borderId="0" xfId="0" applyNumberFormat="1" applyFont="1" applyFill="1" applyBorder="1" applyAlignment="1">
      <alignment horizontal="center"/>
    </xf>
    <xf numFmtId="167" fontId="0" fillId="2" borderId="47" xfId="1" applyNumberFormat="1" applyFont="1" applyFill="1" applyBorder="1" applyAlignment="1">
      <alignment horizontal="center"/>
    </xf>
    <xf numFmtId="14" fontId="0" fillId="6" borderId="0" xfId="0" applyNumberFormat="1" applyFill="1" applyBorder="1" applyAlignment="1">
      <alignment horizontal="left"/>
    </xf>
    <xf numFmtId="0" fontId="0" fillId="6" borderId="0" xfId="0" applyFill="1" applyBorder="1" applyAlignment="1">
      <alignment horizontal="left"/>
    </xf>
    <xf numFmtId="164" fontId="0" fillId="0" borderId="0" xfId="0" applyNumberFormat="1" applyFont="1" applyFill="1" applyAlignment="1">
      <alignment horizontal="center"/>
    </xf>
    <xf numFmtId="165" fontId="0" fillId="0" borderId="0" xfId="0" applyNumberFormat="1" applyFont="1" applyFill="1" applyAlignment="1">
      <alignment horizontal="center"/>
    </xf>
    <xf numFmtId="165" fontId="0" fillId="0" borderId="0" xfId="0" applyNumberFormat="1" applyFont="1" applyFill="1"/>
    <xf numFmtId="0" fontId="0" fillId="0" borderId="0" xfId="0" applyNumberFormat="1" applyFont="1" applyFill="1" applyAlignment="1">
      <alignment horizontal="left"/>
    </xf>
    <xf numFmtId="3" fontId="10" fillId="0" borderId="22" xfId="0" applyNumberFormat="1" applyFont="1" applyFill="1" applyBorder="1" applyAlignment="1">
      <alignment horizontal="center" vertical="top" wrapText="1"/>
    </xf>
    <xf numFmtId="3" fontId="10" fillId="0" borderId="27" xfId="0" applyNumberFormat="1" applyFont="1" applyFill="1" applyBorder="1" applyAlignment="1">
      <alignment horizontal="center" vertical="top" wrapText="1"/>
    </xf>
    <xf numFmtId="0" fontId="0" fillId="0" borderId="7" xfId="0" applyBorder="1"/>
    <xf numFmtId="165" fontId="9" fillId="0" borderId="52" xfId="0" applyNumberFormat="1" applyFont="1" applyFill="1" applyBorder="1" applyAlignment="1">
      <alignment horizontal="right" vertical="top" wrapText="1"/>
    </xf>
    <xf numFmtId="165" fontId="11" fillId="0" borderId="16" xfId="0" applyNumberFormat="1" applyFont="1" applyFill="1" applyBorder="1" applyAlignment="1">
      <alignment horizontal="right" vertical="top" wrapText="1"/>
    </xf>
    <xf numFmtId="165" fontId="10" fillId="0" borderId="27" xfId="0" applyNumberFormat="1" applyFont="1" applyFill="1" applyBorder="1" applyAlignment="1">
      <alignment horizontal="center" vertical="top" wrapText="1"/>
    </xf>
    <xf numFmtId="165" fontId="0" fillId="0" borderId="0" xfId="0" applyNumberFormat="1" applyBorder="1"/>
    <xf numFmtId="166" fontId="0" fillId="0" borderId="11" xfId="0" applyNumberFormat="1" applyFont="1" applyBorder="1" applyAlignment="1">
      <alignment horizontal="center"/>
    </xf>
    <xf numFmtId="0" fontId="3" fillId="2" borderId="5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1" xfId="0" applyFont="1" applyFill="1" applyBorder="1" applyAlignment="1">
      <alignment horizontal="left" vertical="top" wrapText="1"/>
    </xf>
    <xf numFmtId="0" fontId="0" fillId="2" borderId="38"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6" xfId="0" applyFont="1" applyFill="1" applyBorder="1" applyAlignment="1">
      <alignment horizontal="left" vertical="top" wrapText="1"/>
    </xf>
    <xf numFmtId="0" fontId="0" fillId="0" borderId="4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4" xfId="0" applyFont="1" applyFill="1" applyBorder="1" applyAlignment="1">
      <alignment horizontal="left" vertical="top" wrapText="1"/>
    </xf>
    <xf numFmtId="0" fontId="1" fillId="0" borderId="9" xfId="0" applyFont="1" applyFill="1" applyBorder="1" applyAlignment="1">
      <alignment horizontal="left"/>
    </xf>
    <xf numFmtId="0" fontId="0" fillId="0" borderId="9" xfId="0" applyFill="1" applyBorder="1" applyAlignment="1">
      <alignment horizontal="left"/>
    </xf>
    <xf numFmtId="0" fontId="1" fillId="0" borderId="9" xfId="0" applyFont="1" applyBorder="1" applyAlignment="1">
      <alignment horizontal="left"/>
    </xf>
    <xf numFmtId="0" fontId="0" fillId="0" borderId="9" xfId="0" applyBorder="1" applyAlignment="1">
      <alignment horizontal="left"/>
    </xf>
    <xf numFmtId="3" fontId="10" fillId="0" borderId="2" xfId="0" applyNumberFormat="1" applyFont="1" applyBorder="1" applyAlignment="1">
      <alignment horizontal="center" vertical="top"/>
    </xf>
    <xf numFmtId="0" fontId="1" fillId="0" borderId="13" xfId="0" applyFont="1" applyBorder="1" applyAlignment="1">
      <alignment horizontal="center" vertical="top" wrapText="1"/>
    </xf>
    <xf numFmtId="0" fontId="1" fillId="0" borderId="24" xfId="0" applyFont="1" applyBorder="1" applyAlignment="1">
      <alignment horizontal="center" vertical="top" wrapText="1"/>
    </xf>
    <xf numFmtId="3" fontId="10" fillId="0" borderId="34" xfId="0" applyNumberFormat="1" applyFont="1" applyBorder="1" applyAlignment="1">
      <alignment horizontal="center" vertical="top" wrapText="1"/>
    </xf>
    <xf numFmtId="3" fontId="10" fillId="0" borderId="35" xfId="0" applyNumberFormat="1" applyFont="1" applyBorder="1" applyAlignment="1">
      <alignment horizontal="center" vertical="top" wrapText="1"/>
    </xf>
    <xf numFmtId="3" fontId="10" fillId="0" borderId="36" xfId="0" applyNumberFormat="1" applyFont="1" applyBorder="1" applyAlignment="1">
      <alignment horizontal="center" vertical="top" wrapText="1"/>
    </xf>
    <xf numFmtId="3" fontId="10" fillId="0" borderId="1" xfId="0" applyNumberFormat="1" applyFont="1" applyBorder="1" applyAlignment="1">
      <alignment horizontal="center" vertical="top"/>
    </xf>
    <xf numFmtId="3" fontId="10" fillId="0" borderId="3" xfId="0" applyNumberFormat="1" applyFont="1" applyBorder="1" applyAlignment="1">
      <alignment horizontal="center" vertical="top"/>
    </xf>
    <xf numFmtId="3" fontId="10" fillId="0" borderId="17" xfId="0" applyNumberFormat="1" applyFont="1" applyFill="1" applyBorder="1" applyAlignment="1">
      <alignment horizontal="center" vertical="top"/>
    </xf>
    <xf numFmtId="3" fontId="10" fillId="0" borderId="18" xfId="0" applyNumberFormat="1" applyFont="1" applyFill="1" applyBorder="1" applyAlignment="1">
      <alignment horizontal="center" vertical="top"/>
    </xf>
    <xf numFmtId="3" fontId="10" fillId="0" borderId="19" xfId="0" applyNumberFormat="1" applyFont="1" applyFill="1" applyBorder="1" applyAlignment="1">
      <alignment horizontal="center" vertical="top"/>
    </xf>
    <xf numFmtId="3" fontId="10" fillId="0" borderId="32" xfId="0" applyNumberFormat="1" applyFont="1" applyBorder="1" applyAlignment="1">
      <alignment horizontal="center" vertical="top" wrapText="1"/>
    </xf>
    <xf numFmtId="3" fontId="10" fillId="0" borderId="33" xfId="0" applyNumberFormat="1" applyFont="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Examples%20and%20tools%20-%202020/IFR16%20Worked%20Example%20-%20Operating%20Leas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1"/>
  <sheetViews>
    <sheetView showGridLines="0" tabSelected="1" workbookViewId="0">
      <selection activeCell="A5" sqref="A5"/>
    </sheetView>
  </sheetViews>
  <sheetFormatPr defaultColWidth="8.875" defaultRowHeight="14.3" x14ac:dyDescent="0.25"/>
  <cols>
    <col min="1" max="1" width="12.25" style="1" customWidth="1"/>
    <col min="2" max="2" width="19.875" style="28" customWidth="1"/>
    <col min="3" max="3" width="49.25" style="28" customWidth="1"/>
    <col min="4" max="4" width="22.25" style="29" bestFit="1" customWidth="1"/>
    <col min="5" max="5" width="18.375" style="28" bestFit="1" customWidth="1"/>
    <col min="6" max="6" width="15" style="28" bestFit="1" customWidth="1"/>
    <col min="7" max="7" width="15.125" style="1" bestFit="1" customWidth="1"/>
    <col min="8" max="8" width="11.875" style="1" customWidth="1"/>
    <col min="9" max="9" width="14.25" style="1" customWidth="1"/>
    <col min="10" max="10" width="12.125" style="9" customWidth="1"/>
    <col min="11" max="11" width="20.625" style="1" customWidth="1"/>
    <col min="12" max="12" width="15.375" style="1" customWidth="1"/>
    <col min="13" max="13" width="19.25" style="1" bestFit="1" customWidth="1"/>
    <col min="14" max="16384" width="8.875" style="1"/>
  </cols>
  <sheetData>
    <row r="1" spans="1:10" ht="14.95" x14ac:dyDescent="0.25">
      <c r="A1" s="62" t="s">
        <v>77</v>
      </c>
    </row>
    <row r="2" spans="1:10" ht="14.95" x14ac:dyDescent="0.25">
      <c r="A2" s="62"/>
    </row>
    <row r="3" spans="1:10" ht="14.95" x14ac:dyDescent="0.25">
      <c r="A3" s="164" t="s">
        <v>33</v>
      </c>
      <c r="B3" s="165"/>
      <c r="C3" s="165"/>
      <c r="D3" s="166"/>
      <c r="E3" s="165"/>
      <c r="F3" s="165"/>
      <c r="G3" s="167"/>
      <c r="H3" s="167"/>
      <c r="I3" s="167"/>
      <c r="J3" s="168"/>
    </row>
    <row r="4" spans="1:10" ht="47.4" customHeight="1" x14ac:dyDescent="0.25">
      <c r="A4" s="308" t="s">
        <v>188</v>
      </c>
      <c r="B4" s="309"/>
      <c r="C4" s="309"/>
      <c r="D4" s="309"/>
      <c r="E4" s="309"/>
      <c r="F4" s="309"/>
      <c r="G4" s="309"/>
      <c r="H4" s="309"/>
      <c r="I4" s="309"/>
      <c r="J4" s="310"/>
    </row>
    <row r="5" spans="1:10" ht="14.95" x14ac:dyDescent="0.25">
      <c r="A5" s="62"/>
    </row>
    <row r="6" spans="1:10" ht="14.95" x14ac:dyDescent="0.25">
      <c r="A6" s="164" t="s">
        <v>116</v>
      </c>
      <c r="B6" s="165"/>
      <c r="C6" s="165"/>
      <c r="D6" s="166"/>
      <c r="E6" s="165"/>
      <c r="F6" s="165"/>
      <c r="G6" s="167"/>
      <c r="H6" s="167"/>
      <c r="I6" s="167"/>
      <c r="J6" s="168"/>
    </row>
    <row r="7" spans="1:10" ht="14.95" x14ac:dyDescent="0.25">
      <c r="A7" s="273"/>
      <c r="B7" s="50"/>
      <c r="C7" s="50"/>
      <c r="D7" s="92"/>
      <c r="E7" s="50"/>
      <c r="F7" s="50"/>
      <c r="G7" s="91"/>
      <c r="H7" s="91"/>
      <c r="I7" s="91"/>
      <c r="J7" s="274"/>
    </row>
    <row r="8" spans="1:10" ht="14.95" x14ac:dyDescent="0.25">
      <c r="A8" s="275" t="s">
        <v>172</v>
      </c>
      <c r="B8" s="51"/>
      <c r="C8" s="51"/>
      <c r="D8" s="276"/>
      <c r="E8" s="51"/>
      <c r="F8" s="51"/>
      <c r="G8" s="277"/>
      <c r="H8" s="277"/>
      <c r="I8" s="277"/>
      <c r="J8" s="278"/>
    </row>
    <row r="9" spans="1:10" ht="14.95" x14ac:dyDescent="0.25">
      <c r="A9" s="275" t="s">
        <v>171</v>
      </c>
      <c r="B9" s="51"/>
      <c r="C9" s="51"/>
      <c r="D9" s="276"/>
      <c r="E9" s="51"/>
      <c r="F9" s="51"/>
      <c r="G9" s="277"/>
      <c r="H9" s="277"/>
      <c r="I9" s="277"/>
      <c r="J9" s="278"/>
    </row>
    <row r="10" spans="1:10" ht="14.95" x14ac:dyDescent="0.25">
      <c r="A10" s="275"/>
      <c r="B10" s="51"/>
      <c r="C10" s="51"/>
      <c r="D10" s="276"/>
      <c r="E10" s="51"/>
      <c r="F10" s="51"/>
      <c r="G10" s="277"/>
      <c r="H10" s="277"/>
      <c r="I10" s="277"/>
      <c r="J10" s="278"/>
    </row>
    <row r="11" spans="1:10" ht="14.95" x14ac:dyDescent="0.25">
      <c r="A11" s="275" t="s">
        <v>117</v>
      </c>
      <c r="B11" s="51"/>
      <c r="C11" s="51"/>
      <c r="D11" s="276"/>
      <c r="E11" s="51"/>
      <c r="F11" s="51"/>
      <c r="G11" s="277"/>
      <c r="H11" s="277"/>
      <c r="I11" s="277"/>
      <c r="J11" s="278"/>
    </row>
    <row r="12" spans="1:10" ht="14.95" x14ac:dyDescent="0.25">
      <c r="A12" s="275" t="s">
        <v>118</v>
      </c>
      <c r="B12" s="51"/>
      <c r="C12" s="51"/>
      <c r="D12" s="276"/>
      <c r="E12" s="51"/>
      <c r="F12" s="51"/>
      <c r="G12" s="277"/>
      <c r="H12" s="277"/>
      <c r="I12" s="277"/>
      <c r="J12" s="278"/>
    </row>
    <row r="13" spans="1:10" ht="14.95" x14ac:dyDescent="0.25">
      <c r="A13" s="275" t="s">
        <v>119</v>
      </c>
      <c r="B13" s="51"/>
      <c r="C13" s="51"/>
      <c r="D13" s="276"/>
      <c r="E13" s="51"/>
      <c r="F13" s="51"/>
      <c r="G13" s="277"/>
      <c r="H13" s="277"/>
      <c r="I13" s="277"/>
      <c r="J13" s="278"/>
    </row>
    <row r="14" spans="1:10" ht="14.95" x14ac:dyDescent="0.25">
      <c r="A14" s="275"/>
      <c r="B14" s="51"/>
      <c r="C14" s="51"/>
      <c r="D14" s="276"/>
      <c r="E14" s="51"/>
      <c r="F14" s="51"/>
      <c r="G14" s="277"/>
      <c r="H14" s="277"/>
      <c r="I14" s="277"/>
      <c r="J14" s="278"/>
    </row>
    <row r="15" spans="1:10" ht="14.95" x14ac:dyDescent="0.25">
      <c r="A15" s="273"/>
      <c r="B15" s="50"/>
      <c r="C15" s="50"/>
      <c r="D15" s="92"/>
      <c r="E15" s="50"/>
      <c r="F15" s="50"/>
      <c r="G15" s="91"/>
      <c r="H15" s="91"/>
      <c r="I15" s="91"/>
      <c r="J15" s="274"/>
    </row>
    <row r="16" spans="1:10" ht="14.95" x14ac:dyDescent="0.25">
      <c r="A16" s="275" t="s">
        <v>120</v>
      </c>
      <c r="B16" s="50"/>
      <c r="C16" s="50"/>
      <c r="D16" s="92"/>
      <c r="E16" s="50"/>
      <c r="F16" s="50"/>
      <c r="G16" s="91"/>
      <c r="H16" s="91"/>
      <c r="I16" s="91"/>
      <c r="J16" s="274"/>
    </row>
    <row r="17" spans="1:10" ht="14.95" x14ac:dyDescent="0.25">
      <c r="A17" s="275" t="s">
        <v>121</v>
      </c>
      <c r="B17" s="50"/>
      <c r="C17" s="50"/>
      <c r="D17" s="92"/>
      <c r="E17" s="50"/>
      <c r="F17" s="50"/>
      <c r="G17" s="91"/>
      <c r="H17" s="91"/>
      <c r="I17" s="91"/>
      <c r="J17" s="274"/>
    </row>
    <row r="18" spans="1:10" ht="14.95" x14ac:dyDescent="0.25">
      <c r="A18" s="275"/>
      <c r="B18" s="50"/>
      <c r="C18" s="50"/>
      <c r="D18" s="92"/>
      <c r="E18" s="50"/>
      <c r="F18" s="50"/>
      <c r="G18" s="91"/>
      <c r="H18" s="91"/>
      <c r="I18" s="91"/>
      <c r="J18" s="274"/>
    </row>
    <row r="19" spans="1:10" ht="14.95" x14ac:dyDescent="0.25">
      <c r="A19" s="279" t="s">
        <v>122</v>
      </c>
      <c r="B19" s="280" t="s">
        <v>123</v>
      </c>
      <c r="C19" s="50"/>
      <c r="D19" s="92"/>
      <c r="E19" s="50"/>
      <c r="F19" s="50"/>
      <c r="G19" s="91"/>
      <c r="H19" s="91"/>
      <c r="I19" s="91"/>
      <c r="J19" s="274"/>
    </row>
    <row r="20" spans="1:10" ht="14.95" x14ac:dyDescent="0.25">
      <c r="A20" s="279" t="s">
        <v>124</v>
      </c>
      <c r="B20" s="280" t="s">
        <v>148</v>
      </c>
      <c r="C20" s="50"/>
      <c r="D20" s="92"/>
      <c r="E20" s="50"/>
      <c r="F20" s="50"/>
      <c r="G20" s="91"/>
      <c r="H20" s="91"/>
      <c r="I20" s="91"/>
      <c r="J20" s="274"/>
    </row>
    <row r="21" spans="1:10" ht="14.95" x14ac:dyDescent="0.25">
      <c r="A21" s="279" t="s">
        <v>125</v>
      </c>
      <c r="B21" s="280" t="s">
        <v>127</v>
      </c>
      <c r="C21" s="50"/>
      <c r="D21" s="92"/>
      <c r="E21" s="50"/>
      <c r="F21" s="50"/>
      <c r="G21" s="91"/>
      <c r="H21" s="91"/>
      <c r="I21" s="91"/>
      <c r="J21" s="274"/>
    </row>
    <row r="22" spans="1:10" ht="14.95" x14ac:dyDescent="0.25">
      <c r="A22" s="279" t="s">
        <v>126</v>
      </c>
      <c r="B22" s="280" t="s">
        <v>129</v>
      </c>
      <c r="C22" s="50"/>
      <c r="D22" s="92"/>
      <c r="E22" s="50"/>
      <c r="F22" s="50"/>
      <c r="G22" s="91"/>
      <c r="H22" s="91"/>
      <c r="I22" s="91"/>
      <c r="J22" s="274"/>
    </row>
    <row r="23" spans="1:10" ht="14.95" x14ac:dyDescent="0.25">
      <c r="A23" s="279" t="s">
        <v>128</v>
      </c>
      <c r="B23" s="280" t="s">
        <v>149</v>
      </c>
      <c r="C23" s="50"/>
      <c r="D23" s="92"/>
      <c r="E23" s="50"/>
      <c r="F23" s="50"/>
      <c r="G23" s="91"/>
      <c r="H23" s="91"/>
      <c r="I23" s="91"/>
      <c r="J23" s="274"/>
    </row>
    <row r="24" spans="1:10" ht="14.95" x14ac:dyDescent="0.25">
      <c r="A24" s="279" t="s">
        <v>131</v>
      </c>
      <c r="B24" s="280" t="s">
        <v>150</v>
      </c>
      <c r="C24" s="50"/>
      <c r="D24" s="92"/>
      <c r="E24" s="50"/>
      <c r="F24" s="50"/>
      <c r="G24" s="91"/>
      <c r="H24" s="91"/>
      <c r="I24" s="91"/>
      <c r="J24" s="274"/>
    </row>
    <row r="25" spans="1:10" ht="14.95" x14ac:dyDescent="0.25">
      <c r="A25" s="279" t="s">
        <v>132</v>
      </c>
      <c r="B25" s="280" t="s">
        <v>151</v>
      </c>
      <c r="C25" s="50"/>
      <c r="D25" s="92"/>
      <c r="E25" s="50"/>
      <c r="F25" s="50"/>
      <c r="G25" s="91"/>
      <c r="H25" s="91"/>
      <c r="I25" s="91"/>
      <c r="J25" s="274"/>
    </row>
    <row r="26" spans="1:10" ht="14.95" x14ac:dyDescent="0.25">
      <c r="A26" s="279"/>
      <c r="B26" s="280"/>
      <c r="C26" s="50"/>
      <c r="D26" s="92"/>
      <c r="E26" s="50"/>
      <c r="F26" s="50"/>
      <c r="G26" s="91"/>
      <c r="H26" s="91"/>
      <c r="I26" s="91"/>
      <c r="J26" s="274"/>
    </row>
    <row r="27" spans="1:10" ht="14.95" x14ac:dyDescent="0.25">
      <c r="A27" s="275" t="s">
        <v>130</v>
      </c>
      <c r="B27" s="50"/>
      <c r="C27" s="50"/>
      <c r="D27" s="92"/>
      <c r="E27" s="50"/>
      <c r="F27" s="50"/>
      <c r="G27" s="91"/>
      <c r="H27" s="91"/>
      <c r="I27" s="91"/>
      <c r="J27" s="274"/>
    </row>
    <row r="28" spans="1:10" ht="14.95" x14ac:dyDescent="0.25">
      <c r="A28" s="275"/>
      <c r="B28" s="50"/>
      <c r="C28" s="50"/>
      <c r="D28" s="92"/>
      <c r="E28" s="50"/>
      <c r="F28" s="50"/>
      <c r="G28" s="91"/>
      <c r="H28" s="91"/>
      <c r="I28" s="91"/>
      <c r="J28" s="274"/>
    </row>
    <row r="29" spans="1:10" ht="14.95" x14ac:dyDescent="0.25">
      <c r="A29" s="279" t="s">
        <v>145</v>
      </c>
      <c r="B29" s="280" t="s">
        <v>133</v>
      </c>
      <c r="C29" s="50"/>
      <c r="D29" s="92"/>
      <c r="E29" s="50"/>
      <c r="F29" s="50"/>
      <c r="G29" s="91"/>
      <c r="H29" s="91"/>
      <c r="I29" s="91"/>
      <c r="J29" s="274"/>
    </row>
    <row r="30" spans="1:10" ht="14.95" x14ac:dyDescent="0.25">
      <c r="A30" s="273"/>
      <c r="B30" s="50"/>
      <c r="C30" s="50"/>
      <c r="D30" s="92"/>
      <c r="E30" s="50"/>
      <c r="F30" s="50"/>
      <c r="G30" s="91"/>
      <c r="H30" s="91"/>
      <c r="I30" s="91"/>
      <c r="J30" s="274"/>
    </row>
    <row r="31" spans="1:10" ht="14.95" x14ac:dyDescent="0.25">
      <c r="A31" s="281" t="s">
        <v>134</v>
      </c>
      <c r="B31" s="50"/>
      <c r="C31" s="50"/>
      <c r="D31" s="92"/>
      <c r="E31" s="50"/>
      <c r="F31" s="50"/>
      <c r="G31" s="91"/>
      <c r="H31" s="91"/>
      <c r="I31" s="91"/>
      <c r="J31" s="274"/>
    </row>
    <row r="32" spans="1:10" x14ac:dyDescent="0.25">
      <c r="A32" s="311"/>
      <c r="B32" s="312"/>
      <c r="C32" s="312"/>
      <c r="D32" s="312"/>
      <c r="E32" s="312"/>
      <c r="F32" s="312"/>
      <c r="G32" s="312"/>
      <c r="H32" s="312"/>
      <c r="I32" s="312"/>
      <c r="J32" s="313"/>
    </row>
    <row r="33" spans="1:10" x14ac:dyDescent="0.25">
      <c r="A33" s="62"/>
    </row>
    <row r="34" spans="1:10" x14ac:dyDescent="0.25">
      <c r="A34" s="62"/>
    </row>
    <row r="35" spans="1:10" x14ac:dyDescent="0.25">
      <c r="A35" s="169" t="s">
        <v>50</v>
      </c>
      <c r="B35" s="170"/>
      <c r="C35" s="170"/>
      <c r="D35" s="171"/>
      <c r="E35" s="170"/>
      <c r="F35" s="170"/>
      <c r="G35" s="172"/>
      <c r="H35" s="172"/>
      <c r="I35" s="172"/>
      <c r="J35" s="173"/>
    </row>
    <row r="36" spans="1:10" x14ac:dyDescent="0.25">
      <c r="A36" s="305"/>
      <c r="B36" s="306"/>
      <c r="C36" s="306"/>
      <c r="D36" s="306"/>
      <c r="E36" s="306"/>
      <c r="F36" s="306"/>
      <c r="G36" s="306"/>
      <c r="H36" s="306"/>
      <c r="I36" s="306"/>
      <c r="J36" s="307"/>
    </row>
    <row r="37" spans="1:10" ht="12.1" customHeight="1" x14ac:dyDescent="0.25">
      <c r="A37" s="271">
        <v>1</v>
      </c>
      <c r="B37" s="85" t="s">
        <v>110</v>
      </c>
      <c r="C37" s="162"/>
      <c r="D37" s="162"/>
      <c r="E37" s="162"/>
      <c r="F37" s="162"/>
      <c r="G37" s="162"/>
      <c r="H37" s="162"/>
      <c r="I37" s="162"/>
      <c r="J37" s="174"/>
    </row>
    <row r="38" spans="1:10" ht="16.149999999999999" customHeight="1" x14ac:dyDescent="0.25">
      <c r="A38" s="271">
        <v>2</v>
      </c>
      <c r="B38" s="85" t="s">
        <v>111</v>
      </c>
      <c r="C38" s="80"/>
      <c r="D38" s="81"/>
      <c r="E38" s="80"/>
      <c r="F38" s="80"/>
      <c r="G38" s="82"/>
      <c r="H38" s="82"/>
      <c r="I38" s="82"/>
      <c r="J38" s="175"/>
    </row>
    <row r="39" spans="1:10" ht="16.149999999999999" customHeight="1" x14ac:dyDescent="0.25">
      <c r="A39" s="271">
        <v>3</v>
      </c>
      <c r="B39" s="85" t="s">
        <v>112</v>
      </c>
      <c r="C39" s="80"/>
      <c r="D39" s="81"/>
      <c r="E39" s="80"/>
      <c r="F39" s="80"/>
      <c r="G39" s="82"/>
      <c r="H39" s="82"/>
      <c r="I39" s="82"/>
      <c r="J39" s="175"/>
    </row>
    <row r="40" spans="1:10" ht="16.149999999999999" customHeight="1" x14ac:dyDescent="0.25">
      <c r="A40" s="271">
        <v>4</v>
      </c>
      <c r="B40" s="85" t="s">
        <v>113</v>
      </c>
      <c r="C40" s="80"/>
      <c r="D40" s="81"/>
      <c r="E40" s="80"/>
      <c r="F40" s="80"/>
      <c r="G40" s="82"/>
      <c r="H40" s="82"/>
      <c r="I40" s="82"/>
      <c r="J40" s="175"/>
    </row>
    <row r="41" spans="1:10" ht="16.149999999999999" customHeight="1" x14ac:dyDescent="0.25">
      <c r="A41" s="271">
        <v>5</v>
      </c>
      <c r="B41" s="85" t="s">
        <v>114</v>
      </c>
      <c r="C41" s="80"/>
      <c r="D41" s="81"/>
      <c r="E41" s="80"/>
      <c r="F41" s="80"/>
      <c r="G41" s="82"/>
      <c r="H41" s="82"/>
      <c r="I41" s="82"/>
      <c r="J41" s="175"/>
    </row>
    <row r="42" spans="1:10" ht="16.149999999999999" customHeight="1" x14ac:dyDescent="0.25">
      <c r="A42" s="271">
        <v>6</v>
      </c>
      <c r="B42" s="85" t="s">
        <v>115</v>
      </c>
      <c r="C42" s="80"/>
      <c r="D42" s="81"/>
      <c r="E42" s="80"/>
      <c r="F42" s="80"/>
      <c r="G42" s="82"/>
      <c r="H42" s="82"/>
      <c r="I42" s="82"/>
      <c r="J42" s="175"/>
    </row>
    <row r="43" spans="1:10" ht="16.149999999999999" customHeight="1" x14ac:dyDescent="0.25">
      <c r="A43" s="271"/>
      <c r="B43" s="85" t="s">
        <v>157</v>
      </c>
      <c r="C43" s="80"/>
      <c r="D43" s="81"/>
      <c r="E43" s="80"/>
      <c r="F43" s="80"/>
      <c r="G43" s="82"/>
      <c r="H43" s="82"/>
      <c r="I43" s="82"/>
      <c r="J43" s="175"/>
    </row>
    <row r="44" spans="1:10" s="270" customFormat="1" ht="16.149999999999999" customHeight="1" x14ac:dyDescent="0.25">
      <c r="A44" s="272">
        <v>7</v>
      </c>
      <c r="B44" s="267" t="s">
        <v>80</v>
      </c>
      <c r="C44" s="268"/>
      <c r="D44" s="268"/>
      <c r="E44" s="268"/>
      <c r="F44" s="268"/>
      <c r="G44" s="268"/>
      <c r="H44" s="268"/>
      <c r="I44" s="268"/>
      <c r="J44" s="269"/>
    </row>
    <row r="45" spans="1:10" s="270" customFormat="1" ht="16.149999999999999" customHeight="1" x14ac:dyDescent="0.25">
      <c r="A45" s="272">
        <v>8</v>
      </c>
      <c r="B45" s="267" t="s">
        <v>160</v>
      </c>
      <c r="C45" s="268"/>
      <c r="D45" s="268"/>
      <c r="E45" s="268"/>
      <c r="F45" s="268"/>
      <c r="G45" s="268"/>
      <c r="H45" s="268"/>
      <c r="I45" s="268"/>
      <c r="J45" s="269"/>
    </row>
    <row r="46" spans="1:10" s="270" customFormat="1" ht="16.149999999999999" customHeight="1" x14ac:dyDescent="0.25">
      <c r="A46" s="272">
        <v>9</v>
      </c>
      <c r="B46" s="267" t="s">
        <v>95</v>
      </c>
      <c r="C46" s="268"/>
      <c r="D46" s="268"/>
      <c r="E46" s="268"/>
      <c r="F46" s="268"/>
      <c r="G46" s="268"/>
      <c r="H46" s="268"/>
      <c r="I46" s="268"/>
      <c r="J46" s="269"/>
    </row>
    <row r="47" spans="1:10" s="270" customFormat="1" ht="16.149999999999999" customHeight="1" x14ac:dyDescent="0.25">
      <c r="A47" s="176"/>
      <c r="B47" s="267" t="s">
        <v>96</v>
      </c>
      <c r="C47" s="268"/>
      <c r="D47" s="268"/>
      <c r="E47" s="268"/>
      <c r="F47" s="268"/>
      <c r="G47" s="268"/>
      <c r="H47" s="268"/>
      <c r="I47" s="268"/>
      <c r="J47" s="269"/>
    </row>
    <row r="48" spans="1:10" ht="16.149999999999999" customHeight="1" x14ac:dyDescent="0.25">
      <c r="A48" s="177"/>
      <c r="B48" s="124"/>
      <c r="C48" s="162"/>
      <c r="D48" s="162"/>
      <c r="E48" s="162"/>
      <c r="F48" s="162"/>
      <c r="G48" s="162"/>
      <c r="H48" s="162"/>
      <c r="I48" s="162"/>
      <c r="J48" s="174"/>
    </row>
    <row r="49" spans="1:10" ht="9.6999999999999993" customHeight="1" x14ac:dyDescent="0.25">
      <c r="A49" s="178"/>
      <c r="B49" s="179"/>
      <c r="C49" s="180"/>
      <c r="D49" s="181"/>
      <c r="E49" s="180"/>
      <c r="F49" s="180"/>
      <c r="G49" s="182"/>
      <c r="H49" s="182"/>
      <c r="I49" s="182"/>
      <c r="J49" s="183"/>
    </row>
    <row r="50" spans="1:10" x14ac:dyDescent="0.25">
      <c r="A50" s="62"/>
    </row>
    <row r="51" spans="1:10" x14ac:dyDescent="0.25">
      <c r="A51" s="282" t="s">
        <v>122</v>
      </c>
    </row>
    <row r="52" spans="1:10" x14ac:dyDescent="0.25">
      <c r="A52" s="62"/>
    </row>
    <row r="53" spans="1:10" x14ac:dyDescent="0.25">
      <c r="A53" s="262" t="s">
        <v>173</v>
      </c>
    </row>
    <row r="54" spans="1:10" x14ac:dyDescent="0.25">
      <c r="A54" s="62"/>
    </row>
    <row r="55" spans="1:10" x14ac:dyDescent="0.25">
      <c r="A55" s="283" t="s">
        <v>52</v>
      </c>
      <c r="B55" s="172"/>
      <c r="C55" s="284">
        <v>44652</v>
      </c>
      <c r="E55" s="1"/>
    </row>
    <row r="56" spans="1:10" x14ac:dyDescent="0.25">
      <c r="A56" s="285" t="s">
        <v>135</v>
      </c>
      <c r="B56" s="179"/>
      <c r="C56" s="286">
        <v>0.05</v>
      </c>
    </row>
    <row r="57" spans="1:10" x14ac:dyDescent="0.25">
      <c r="A57" s="110"/>
      <c r="B57" s="85"/>
      <c r="C57" s="80"/>
    </row>
    <row r="58" spans="1:10" x14ac:dyDescent="0.25">
      <c r="A58" s="282" t="s">
        <v>124</v>
      </c>
      <c r="B58" s="85"/>
      <c r="C58" s="80"/>
    </row>
    <row r="59" spans="1:10" x14ac:dyDescent="0.25">
      <c r="A59" s="110"/>
      <c r="B59" s="85"/>
      <c r="C59" s="80"/>
    </row>
    <row r="60" spans="1:10" x14ac:dyDescent="0.25">
      <c r="A60" s="287" t="s">
        <v>136</v>
      </c>
      <c r="E60" s="1"/>
    </row>
    <row r="61" spans="1:10" x14ac:dyDescent="0.25">
      <c r="A61" s="287" t="s">
        <v>137</v>
      </c>
      <c r="E61" s="1"/>
    </row>
    <row r="62" spans="1:10" x14ac:dyDescent="0.25">
      <c r="A62" s="110"/>
      <c r="B62" s="85"/>
      <c r="C62" s="80"/>
    </row>
    <row r="63" spans="1:10" x14ac:dyDescent="0.25">
      <c r="A63" s="164" t="s">
        <v>53</v>
      </c>
      <c r="B63" s="167"/>
      <c r="C63" s="165"/>
      <c r="D63" s="166"/>
      <c r="E63" s="193"/>
    </row>
    <row r="64" spans="1:10" x14ac:dyDescent="0.25">
      <c r="A64" s="194"/>
      <c r="B64" s="195" t="s">
        <v>19</v>
      </c>
      <c r="C64" s="195" t="s">
        <v>20</v>
      </c>
      <c r="D64" s="196" t="s">
        <v>21</v>
      </c>
      <c r="E64" s="197" t="s">
        <v>22</v>
      </c>
    </row>
    <row r="65" spans="1:5" x14ac:dyDescent="0.25">
      <c r="A65" s="198">
        <v>0</v>
      </c>
      <c r="B65" s="108">
        <v>0</v>
      </c>
      <c r="C65" s="109">
        <v>44652</v>
      </c>
      <c r="D65" s="81">
        <f t="shared" ref="D65:D74" si="0">1/(1+$C$56)^A65</f>
        <v>1</v>
      </c>
      <c r="E65" s="199">
        <f>B65*D65</f>
        <v>0</v>
      </c>
    </row>
    <row r="66" spans="1:5" x14ac:dyDescent="0.25">
      <c r="A66" s="198">
        <v>1</v>
      </c>
      <c r="B66" s="108">
        <v>50000</v>
      </c>
      <c r="C66" s="109">
        <v>45017</v>
      </c>
      <c r="D66" s="81">
        <f t="shared" si="0"/>
        <v>0.95238095238095233</v>
      </c>
      <c r="E66" s="199">
        <f>B66*D66</f>
        <v>47619.047619047618</v>
      </c>
    </row>
    <row r="67" spans="1:5" x14ac:dyDescent="0.25">
      <c r="A67" s="198">
        <f>A66+1</f>
        <v>2</v>
      </c>
      <c r="B67" s="108">
        <v>50000</v>
      </c>
      <c r="C67" s="109">
        <v>45383</v>
      </c>
      <c r="D67" s="81">
        <f t="shared" si="0"/>
        <v>0.90702947845804982</v>
      </c>
      <c r="E67" s="199">
        <f t="shared" ref="E67:E74" si="1">B67*D67</f>
        <v>45351.473922902493</v>
      </c>
    </row>
    <row r="68" spans="1:5" x14ac:dyDescent="0.25">
      <c r="A68" s="198">
        <f t="shared" ref="A68:A74" si="2">A67+1</f>
        <v>3</v>
      </c>
      <c r="B68" s="108">
        <v>50000</v>
      </c>
      <c r="C68" s="109">
        <v>45748</v>
      </c>
      <c r="D68" s="81">
        <f t="shared" si="0"/>
        <v>0.86383759853147601</v>
      </c>
      <c r="E68" s="199">
        <f t="shared" si="1"/>
        <v>43191.879926573798</v>
      </c>
    </row>
    <row r="69" spans="1:5" x14ac:dyDescent="0.25">
      <c r="A69" s="198">
        <f t="shared" si="2"/>
        <v>4</v>
      </c>
      <c r="B69" s="108">
        <v>50000</v>
      </c>
      <c r="C69" s="109">
        <v>46113</v>
      </c>
      <c r="D69" s="81">
        <f t="shared" si="0"/>
        <v>0.82270247479188197</v>
      </c>
      <c r="E69" s="199">
        <f t="shared" si="1"/>
        <v>41135.123739594099</v>
      </c>
    </row>
    <row r="70" spans="1:5" x14ac:dyDescent="0.25">
      <c r="A70" s="198">
        <f t="shared" si="2"/>
        <v>5</v>
      </c>
      <c r="B70" s="108">
        <v>50000</v>
      </c>
      <c r="C70" s="109">
        <v>46478</v>
      </c>
      <c r="D70" s="81">
        <f t="shared" si="0"/>
        <v>0.78352616646845896</v>
      </c>
      <c r="E70" s="199">
        <f t="shared" si="1"/>
        <v>39176.308323422949</v>
      </c>
    </row>
    <row r="71" spans="1:5" x14ac:dyDescent="0.25">
      <c r="A71" s="198">
        <f t="shared" si="2"/>
        <v>6</v>
      </c>
      <c r="B71" s="108">
        <v>50000</v>
      </c>
      <c r="C71" s="109">
        <v>46844</v>
      </c>
      <c r="D71" s="81">
        <f t="shared" si="0"/>
        <v>0.74621539663662761</v>
      </c>
      <c r="E71" s="199">
        <f t="shared" si="1"/>
        <v>37310.769831831378</v>
      </c>
    </row>
    <row r="72" spans="1:5" x14ac:dyDescent="0.25">
      <c r="A72" s="198">
        <f t="shared" si="2"/>
        <v>7</v>
      </c>
      <c r="B72" s="108">
        <v>50000</v>
      </c>
      <c r="C72" s="109">
        <v>47209</v>
      </c>
      <c r="D72" s="81">
        <f t="shared" si="0"/>
        <v>0.71068133013012147</v>
      </c>
      <c r="E72" s="199">
        <f t="shared" si="1"/>
        <v>35534.066506506075</v>
      </c>
    </row>
    <row r="73" spans="1:5" x14ac:dyDescent="0.25">
      <c r="A73" s="198">
        <f t="shared" si="2"/>
        <v>8</v>
      </c>
      <c r="B73" s="108">
        <v>50000</v>
      </c>
      <c r="C73" s="109">
        <v>47574</v>
      </c>
      <c r="D73" s="81">
        <f t="shared" si="0"/>
        <v>0.67683936202868722</v>
      </c>
      <c r="E73" s="199">
        <f t="shared" si="1"/>
        <v>33841.968101434359</v>
      </c>
    </row>
    <row r="74" spans="1:5" x14ac:dyDescent="0.25">
      <c r="A74" s="198">
        <f t="shared" si="2"/>
        <v>9</v>
      </c>
      <c r="B74" s="108">
        <v>50000</v>
      </c>
      <c r="C74" s="109">
        <v>47939</v>
      </c>
      <c r="D74" s="81">
        <f t="shared" si="0"/>
        <v>0.64460891621779726</v>
      </c>
      <c r="E74" s="200">
        <f t="shared" si="1"/>
        <v>32230.445810889862</v>
      </c>
    </row>
    <row r="75" spans="1:5" x14ac:dyDescent="0.25">
      <c r="A75" s="201"/>
      <c r="B75" s="202"/>
      <c r="C75" s="203"/>
      <c r="D75" s="181"/>
      <c r="E75" s="204">
        <f>SUM(E66:E74)</f>
        <v>355391.08378220262</v>
      </c>
    </row>
    <row r="76" spans="1:5" x14ac:dyDescent="0.25">
      <c r="A76" s="110"/>
      <c r="B76" s="85"/>
      <c r="C76" s="80"/>
    </row>
    <row r="77" spans="1:5" x14ac:dyDescent="0.25">
      <c r="A77" s="288" t="s">
        <v>125</v>
      </c>
      <c r="B77" s="85"/>
      <c r="C77" s="80"/>
    </row>
    <row r="78" spans="1:5" x14ac:dyDescent="0.25">
      <c r="A78" s="110"/>
      <c r="B78" s="85"/>
      <c r="C78" s="80"/>
    </row>
    <row r="79" spans="1:5" x14ac:dyDescent="0.25">
      <c r="A79" s="82" t="s">
        <v>138</v>
      </c>
      <c r="E79" s="1"/>
    </row>
    <row r="80" spans="1:5" x14ac:dyDescent="0.25">
      <c r="A80" s="82" t="s">
        <v>139</v>
      </c>
      <c r="B80" s="108"/>
      <c r="C80" s="109"/>
      <c r="D80" s="81"/>
      <c r="E80" s="289"/>
    </row>
    <row r="81" spans="1:6" x14ac:dyDescent="0.25">
      <c r="A81" s="82" t="s">
        <v>140</v>
      </c>
      <c r="B81" s="108"/>
      <c r="C81" s="109"/>
      <c r="D81" s="81"/>
      <c r="E81" s="289"/>
    </row>
    <row r="82" spans="1:6" x14ac:dyDescent="0.25">
      <c r="A82" s="110"/>
      <c r="B82" s="85"/>
      <c r="C82" s="80"/>
    </row>
    <row r="83" spans="1:6" s="89" customFormat="1" x14ac:dyDescent="0.25">
      <c r="A83" s="205" t="s">
        <v>81</v>
      </c>
      <c r="B83" s="165"/>
      <c r="C83" s="165"/>
      <c r="D83" s="166"/>
      <c r="E83" s="193"/>
      <c r="F83" s="87"/>
    </row>
    <row r="84" spans="1:6" s="89" customFormat="1" x14ac:dyDescent="0.25">
      <c r="A84" s="206" t="s">
        <v>54</v>
      </c>
      <c r="B84" s="207"/>
      <c r="C84" s="207"/>
      <c r="D84" s="207"/>
      <c r="E84" s="208"/>
    </row>
    <row r="85" spans="1:6" s="89" customFormat="1" x14ac:dyDescent="0.25">
      <c r="A85" s="209">
        <f>SUM(E66:E74)</f>
        <v>355391.08378220262</v>
      </c>
      <c r="B85" s="91"/>
      <c r="C85" s="50"/>
      <c r="D85" s="50"/>
      <c r="E85" s="210"/>
    </row>
    <row r="86" spans="1:6" s="89" customFormat="1" x14ac:dyDescent="0.25">
      <c r="A86" s="211"/>
      <c r="B86" s="92"/>
      <c r="C86" s="50"/>
      <c r="D86" s="50"/>
      <c r="E86" s="210"/>
    </row>
    <row r="87" spans="1:6" s="89" customFormat="1" x14ac:dyDescent="0.25">
      <c r="A87" s="212" t="s">
        <v>23</v>
      </c>
      <c r="B87" s="93" t="s">
        <v>24</v>
      </c>
      <c r="C87" s="94" t="s">
        <v>10</v>
      </c>
      <c r="D87" s="94" t="s">
        <v>108</v>
      </c>
      <c r="E87" s="213" t="s">
        <v>56</v>
      </c>
    </row>
    <row r="88" spans="1:6" s="89" customFormat="1" x14ac:dyDescent="0.25">
      <c r="A88" s="214" t="s">
        <v>161</v>
      </c>
      <c r="B88" s="96">
        <f>A85</f>
        <v>355391.08378220262</v>
      </c>
      <c r="C88" s="96">
        <v>0</v>
      </c>
      <c r="D88" s="96">
        <f t="shared" ref="D88:D97" si="3">SUM(B88:C88)*$C$56</f>
        <v>17769.554189110131</v>
      </c>
      <c r="E88" s="215">
        <f t="shared" ref="E88:E97" si="4">B88+D88+C88</f>
        <v>373160.63797131274</v>
      </c>
    </row>
    <row r="89" spans="1:6" s="89" customFormat="1" x14ac:dyDescent="0.25">
      <c r="A89" s="214" t="s">
        <v>162</v>
      </c>
      <c r="B89" s="96">
        <f>E88</f>
        <v>373160.63797131274</v>
      </c>
      <c r="C89" s="96">
        <f t="shared" ref="C89:C97" si="5">-B66</f>
        <v>-50000</v>
      </c>
      <c r="D89" s="96">
        <f t="shared" si="3"/>
        <v>16158.031898565638</v>
      </c>
      <c r="E89" s="215">
        <f t="shared" si="4"/>
        <v>339318.66986987839</v>
      </c>
    </row>
    <row r="90" spans="1:6" s="89" customFormat="1" x14ac:dyDescent="0.25">
      <c r="A90" s="214" t="s">
        <v>163</v>
      </c>
      <c r="B90" s="96">
        <f>E89</f>
        <v>339318.66986987839</v>
      </c>
      <c r="C90" s="96">
        <f t="shared" si="5"/>
        <v>-50000</v>
      </c>
      <c r="D90" s="96">
        <f t="shared" si="3"/>
        <v>14465.93349349392</v>
      </c>
      <c r="E90" s="215">
        <f t="shared" si="4"/>
        <v>303784.60336337233</v>
      </c>
    </row>
    <row r="91" spans="1:6" s="89" customFormat="1" x14ac:dyDescent="0.25">
      <c r="A91" s="214" t="s">
        <v>164</v>
      </c>
      <c r="B91" s="96">
        <f t="shared" ref="B91:B97" si="6">E90</f>
        <v>303784.60336337233</v>
      </c>
      <c r="C91" s="96">
        <f t="shared" si="5"/>
        <v>-50000</v>
      </c>
      <c r="D91" s="96">
        <f t="shared" si="3"/>
        <v>12689.230168168617</v>
      </c>
      <c r="E91" s="215">
        <f t="shared" si="4"/>
        <v>266473.83353154093</v>
      </c>
    </row>
    <row r="92" spans="1:6" s="89" customFormat="1" x14ac:dyDescent="0.25">
      <c r="A92" s="214" t="s">
        <v>165</v>
      </c>
      <c r="B92" s="96">
        <f t="shared" si="6"/>
        <v>266473.83353154093</v>
      </c>
      <c r="C92" s="96">
        <f t="shared" si="5"/>
        <v>-50000</v>
      </c>
      <c r="D92" s="96">
        <f t="shared" si="3"/>
        <v>10823.691676577047</v>
      </c>
      <c r="E92" s="215">
        <f t="shared" si="4"/>
        <v>227297.52520811796</v>
      </c>
    </row>
    <row r="93" spans="1:6" s="89" customFormat="1" x14ac:dyDescent="0.25">
      <c r="A93" s="214" t="s">
        <v>166</v>
      </c>
      <c r="B93" s="96">
        <f t="shared" si="6"/>
        <v>227297.52520811796</v>
      </c>
      <c r="C93" s="96">
        <f t="shared" si="5"/>
        <v>-50000</v>
      </c>
      <c r="D93" s="96">
        <f t="shared" si="3"/>
        <v>8864.8762604058993</v>
      </c>
      <c r="E93" s="215">
        <f t="shared" si="4"/>
        <v>186162.40146852387</v>
      </c>
      <c r="F93" s="97"/>
    </row>
    <row r="94" spans="1:6" s="89" customFormat="1" x14ac:dyDescent="0.25">
      <c r="A94" s="214" t="s">
        <v>167</v>
      </c>
      <c r="B94" s="96">
        <f t="shared" si="6"/>
        <v>186162.40146852387</v>
      </c>
      <c r="C94" s="96">
        <f t="shared" si="5"/>
        <v>-50000</v>
      </c>
      <c r="D94" s="96">
        <f t="shared" si="3"/>
        <v>6808.1200734261938</v>
      </c>
      <c r="E94" s="215">
        <f t="shared" si="4"/>
        <v>142970.52154195006</v>
      </c>
    </row>
    <row r="95" spans="1:6" s="89" customFormat="1" x14ac:dyDescent="0.25">
      <c r="A95" s="214" t="s">
        <v>168</v>
      </c>
      <c r="B95" s="96">
        <f t="shared" si="6"/>
        <v>142970.52154195006</v>
      </c>
      <c r="C95" s="96">
        <f t="shared" si="5"/>
        <v>-50000</v>
      </c>
      <c r="D95" s="96">
        <f t="shared" si="3"/>
        <v>4648.5260770975028</v>
      </c>
      <c r="E95" s="215">
        <f t="shared" si="4"/>
        <v>97619.047619047575</v>
      </c>
    </row>
    <row r="96" spans="1:6" s="89" customFormat="1" x14ac:dyDescent="0.25">
      <c r="A96" s="214" t="s">
        <v>174</v>
      </c>
      <c r="B96" s="96">
        <f t="shared" si="6"/>
        <v>97619.047619047575</v>
      </c>
      <c r="C96" s="96">
        <f t="shared" si="5"/>
        <v>-50000</v>
      </c>
      <c r="D96" s="96">
        <f t="shared" si="3"/>
        <v>2380.9523809523789</v>
      </c>
      <c r="E96" s="215">
        <f t="shared" si="4"/>
        <v>49999.999999999956</v>
      </c>
    </row>
    <row r="97" spans="1:12" s="89" customFormat="1" x14ac:dyDescent="0.25">
      <c r="A97" s="216" t="s">
        <v>175</v>
      </c>
      <c r="B97" s="217">
        <f t="shared" si="6"/>
        <v>49999.999999999956</v>
      </c>
      <c r="C97" s="217">
        <f t="shared" si="5"/>
        <v>-50000</v>
      </c>
      <c r="D97" s="217">
        <f t="shared" si="3"/>
        <v>0</v>
      </c>
      <c r="E97" s="218">
        <f t="shared" si="4"/>
        <v>0</v>
      </c>
    </row>
    <row r="98" spans="1:12" x14ac:dyDescent="0.25">
      <c r="A98" s="110"/>
      <c r="B98" s="85"/>
      <c r="C98" s="80"/>
    </row>
    <row r="99" spans="1:12" x14ac:dyDescent="0.25">
      <c r="A99" s="288" t="s">
        <v>141</v>
      </c>
      <c r="B99" s="85"/>
      <c r="C99" s="80"/>
    </row>
    <row r="100" spans="1:12" x14ac:dyDescent="0.25">
      <c r="A100" s="110"/>
      <c r="B100" s="85"/>
      <c r="C100" s="80"/>
    </row>
    <row r="101" spans="1:12" x14ac:dyDescent="0.25">
      <c r="A101" s="110" t="s">
        <v>142</v>
      </c>
      <c r="B101" s="85"/>
      <c r="C101" s="80"/>
    </row>
    <row r="102" spans="1:12" x14ac:dyDescent="0.25">
      <c r="A102" s="110"/>
      <c r="B102" s="85"/>
      <c r="C102" s="80"/>
    </row>
    <row r="103" spans="1:12" x14ac:dyDescent="0.25">
      <c r="A103" s="164" t="s">
        <v>158</v>
      </c>
      <c r="B103" s="165"/>
      <c r="C103" s="184"/>
      <c r="D103" s="30"/>
      <c r="E103" s="1"/>
    </row>
    <row r="104" spans="1:12" x14ac:dyDescent="0.25">
      <c r="A104" s="290">
        <v>50000</v>
      </c>
      <c r="B104" s="186" t="s">
        <v>88</v>
      </c>
      <c r="C104" s="187"/>
      <c r="D104" s="30"/>
      <c r="E104" s="1"/>
    </row>
    <row r="105" spans="1:12" ht="8.5" customHeight="1" x14ac:dyDescent="0.25">
      <c r="A105" s="191"/>
      <c r="B105" s="179"/>
      <c r="C105" s="192"/>
      <c r="D105" s="30"/>
      <c r="E105" s="1"/>
    </row>
    <row r="106" spans="1:12" x14ac:dyDescent="0.25">
      <c r="A106" s="110"/>
      <c r="B106" s="85"/>
      <c r="C106" s="80"/>
    </row>
    <row r="107" spans="1:12" s="89" customFormat="1" x14ac:dyDescent="0.25">
      <c r="A107" s="101" t="s">
        <v>143</v>
      </c>
      <c r="B107" s="96"/>
      <c r="C107" s="96"/>
      <c r="D107" s="96"/>
      <c r="E107" s="96"/>
      <c r="G107" s="97"/>
      <c r="H107" s="101"/>
      <c r="I107" s="98"/>
      <c r="J107" s="98"/>
      <c r="K107" s="98"/>
      <c r="L107" s="91"/>
    </row>
    <row r="108" spans="1:12" s="89" customFormat="1" x14ac:dyDescent="0.25">
      <c r="A108" s="101" t="s">
        <v>144</v>
      </c>
      <c r="B108" s="96"/>
      <c r="C108" s="96"/>
      <c r="D108" s="96"/>
      <c r="E108" s="96"/>
      <c r="G108" s="97"/>
      <c r="H108" s="101"/>
      <c r="I108" s="98"/>
      <c r="J108" s="98"/>
      <c r="K108" s="98"/>
      <c r="L108" s="91"/>
    </row>
    <row r="109" spans="1:12" x14ac:dyDescent="0.25">
      <c r="A109" s="110"/>
      <c r="B109" s="85"/>
      <c r="C109" s="80"/>
    </row>
    <row r="110" spans="1:12" s="89" customFormat="1" x14ac:dyDescent="0.25">
      <c r="A110" s="219" t="s">
        <v>82</v>
      </c>
      <c r="B110" s="167"/>
      <c r="C110" s="220"/>
      <c r="D110" s="167"/>
      <c r="E110" s="221"/>
      <c r="H110" s="90"/>
    </row>
    <row r="111" spans="1:12" s="89" customFormat="1" x14ac:dyDescent="0.25">
      <c r="A111" s="222">
        <f>A85+A104</f>
        <v>405391.08378220262</v>
      </c>
      <c r="B111" s="223" t="s">
        <v>26</v>
      </c>
      <c r="C111" s="207"/>
      <c r="D111" s="207"/>
      <c r="E111" s="208"/>
      <c r="H111" s="90"/>
    </row>
    <row r="112" spans="1:12" s="89" customFormat="1" x14ac:dyDescent="0.25">
      <c r="A112" s="224"/>
      <c r="B112" s="91"/>
      <c r="C112" s="91"/>
      <c r="D112" s="91"/>
      <c r="E112" s="210"/>
      <c r="H112" s="90"/>
    </row>
    <row r="113" spans="1:9" s="89" customFormat="1" x14ac:dyDescent="0.25">
      <c r="A113" s="224" t="s">
        <v>23</v>
      </c>
      <c r="B113" s="95" t="s">
        <v>11</v>
      </c>
      <c r="C113" s="91" t="s">
        <v>4</v>
      </c>
      <c r="D113" s="91" t="s">
        <v>57</v>
      </c>
      <c r="E113" s="225" t="s">
        <v>55</v>
      </c>
      <c r="H113" s="90"/>
    </row>
    <row r="114" spans="1:9" s="89" customFormat="1" x14ac:dyDescent="0.25">
      <c r="A114" s="224" t="s">
        <v>161</v>
      </c>
      <c r="B114" s="98">
        <f>A111</f>
        <v>405391.08378220262</v>
      </c>
      <c r="C114" s="98">
        <f t="shared" ref="C114:C123" si="7">-$A$111*10%</f>
        <v>-40539.108378220262</v>
      </c>
      <c r="D114" s="98">
        <f t="shared" ref="D114:D123" si="8">SUM(B114:C114)</f>
        <v>364851.97540398233</v>
      </c>
      <c r="E114" s="226">
        <f t="shared" ref="E114:E123" si="9">D114-E88</f>
        <v>-8308.6625673304079</v>
      </c>
      <c r="H114" s="90"/>
    </row>
    <row r="115" spans="1:9" s="89" customFormat="1" x14ac:dyDescent="0.25">
      <c r="A115" s="224" t="s">
        <v>162</v>
      </c>
      <c r="B115" s="98">
        <f t="shared" ref="B115:B123" si="10">D114</f>
        <v>364851.97540398233</v>
      </c>
      <c r="C115" s="98">
        <f t="shared" si="7"/>
        <v>-40539.108378220262</v>
      </c>
      <c r="D115" s="98">
        <f t="shared" si="8"/>
        <v>324312.8670257621</v>
      </c>
      <c r="E115" s="226">
        <f t="shared" si="9"/>
        <v>-15005.80284411629</v>
      </c>
      <c r="H115" s="90"/>
    </row>
    <row r="116" spans="1:9" s="89" customFormat="1" x14ac:dyDescent="0.25">
      <c r="A116" s="224" t="s">
        <v>163</v>
      </c>
      <c r="B116" s="98">
        <f t="shared" si="10"/>
        <v>324312.8670257621</v>
      </c>
      <c r="C116" s="98">
        <f t="shared" si="7"/>
        <v>-40539.108378220262</v>
      </c>
      <c r="D116" s="98">
        <f t="shared" si="8"/>
        <v>283773.75864754186</v>
      </c>
      <c r="E116" s="226">
        <f t="shared" si="9"/>
        <v>-20010.844715830463</v>
      </c>
      <c r="H116" s="90"/>
    </row>
    <row r="117" spans="1:9" s="89" customFormat="1" x14ac:dyDescent="0.25">
      <c r="A117" s="224" t="s">
        <v>164</v>
      </c>
      <c r="B117" s="98">
        <f t="shared" si="10"/>
        <v>283773.75864754186</v>
      </c>
      <c r="C117" s="98">
        <f t="shared" si="7"/>
        <v>-40539.108378220262</v>
      </c>
      <c r="D117" s="98">
        <f t="shared" si="8"/>
        <v>243234.6502693216</v>
      </c>
      <c r="E117" s="226">
        <f t="shared" si="9"/>
        <v>-23239.183262219332</v>
      </c>
      <c r="H117" s="90"/>
    </row>
    <row r="118" spans="1:9" s="89" customFormat="1" x14ac:dyDescent="0.25">
      <c r="A118" s="224" t="s">
        <v>165</v>
      </c>
      <c r="B118" s="98">
        <f t="shared" si="10"/>
        <v>243234.6502693216</v>
      </c>
      <c r="C118" s="98">
        <f t="shared" si="7"/>
        <v>-40539.108378220262</v>
      </c>
      <c r="D118" s="98">
        <f t="shared" si="8"/>
        <v>202695.54189110134</v>
      </c>
      <c r="E118" s="226">
        <f t="shared" si="9"/>
        <v>-24601.983317016624</v>
      </c>
      <c r="H118" s="90"/>
    </row>
    <row r="119" spans="1:9" s="89" customFormat="1" x14ac:dyDescent="0.25">
      <c r="A119" s="224" t="s">
        <v>166</v>
      </c>
      <c r="B119" s="98">
        <f t="shared" si="10"/>
        <v>202695.54189110134</v>
      </c>
      <c r="C119" s="98">
        <f t="shared" si="7"/>
        <v>-40539.108378220262</v>
      </c>
      <c r="D119" s="98">
        <f t="shared" si="8"/>
        <v>162156.43351288108</v>
      </c>
      <c r="E119" s="226">
        <f t="shared" si="9"/>
        <v>-24005.967955642787</v>
      </c>
      <c r="G119" s="120" t="s">
        <v>68</v>
      </c>
      <c r="H119" s="121"/>
      <c r="I119" s="122"/>
    </row>
    <row r="120" spans="1:9" s="89" customFormat="1" x14ac:dyDescent="0.25">
      <c r="A120" s="224" t="s">
        <v>167</v>
      </c>
      <c r="B120" s="98">
        <f t="shared" si="10"/>
        <v>162156.43351288108</v>
      </c>
      <c r="C120" s="98">
        <f t="shared" si="7"/>
        <v>-40539.108378220262</v>
      </c>
      <c r="D120" s="98">
        <f t="shared" si="8"/>
        <v>121617.32513466082</v>
      </c>
      <c r="E120" s="226">
        <f t="shared" si="9"/>
        <v>-21353.196407289244</v>
      </c>
      <c r="G120" s="230">
        <f>SUM(B66:B74)+A104</f>
        <v>500000</v>
      </c>
      <c r="H120" s="231" t="s">
        <v>0</v>
      </c>
      <c r="I120" s="232"/>
    </row>
    <row r="121" spans="1:9" s="89" customFormat="1" x14ac:dyDescent="0.25">
      <c r="A121" s="224" t="s">
        <v>168</v>
      </c>
      <c r="B121" s="98">
        <f t="shared" si="10"/>
        <v>121617.32513466082</v>
      </c>
      <c r="C121" s="98">
        <f t="shared" si="7"/>
        <v>-40539.108378220262</v>
      </c>
      <c r="D121" s="98">
        <f t="shared" si="8"/>
        <v>81078.216756440554</v>
      </c>
      <c r="E121" s="226">
        <f t="shared" si="9"/>
        <v>-16540.830862607021</v>
      </c>
      <c r="G121" s="233">
        <f>-SUM(C114:C123)</f>
        <v>405391.08378220256</v>
      </c>
      <c r="H121" s="123" t="s">
        <v>1</v>
      </c>
      <c r="I121" s="234"/>
    </row>
    <row r="122" spans="1:9" s="89" customFormat="1" x14ac:dyDescent="0.25">
      <c r="A122" s="224" t="s">
        <v>174</v>
      </c>
      <c r="B122" s="98">
        <f t="shared" si="10"/>
        <v>81078.216756440554</v>
      </c>
      <c r="C122" s="98">
        <f t="shared" si="7"/>
        <v>-40539.108378220262</v>
      </c>
      <c r="D122" s="98">
        <f t="shared" si="8"/>
        <v>40539.108378220291</v>
      </c>
      <c r="E122" s="226">
        <f t="shared" si="9"/>
        <v>-9460.891621779665</v>
      </c>
      <c r="G122" s="233">
        <f>SUM(D88:D97)</f>
        <v>94608.916217797319</v>
      </c>
      <c r="H122" s="123" t="s">
        <v>2</v>
      </c>
      <c r="I122" s="234"/>
    </row>
    <row r="123" spans="1:9" s="89" customFormat="1" x14ac:dyDescent="0.25">
      <c r="A123" s="227" t="s">
        <v>175</v>
      </c>
      <c r="B123" s="228">
        <f t="shared" si="10"/>
        <v>40539.108378220291</v>
      </c>
      <c r="C123" s="228">
        <f t="shared" si="7"/>
        <v>-40539.108378220262</v>
      </c>
      <c r="D123" s="228">
        <f t="shared" si="8"/>
        <v>0</v>
      </c>
      <c r="E123" s="229">
        <f t="shared" si="9"/>
        <v>0</v>
      </c>
      <c r="G123" s="230">
        <f>SUM(G121:G122)</f>
        <v>499999.99999999988</v>
      </c>
      <c r="H123" s="235" t="s">
        <v>3</v>
      </c>
      <c r="I123" s="236"/>
    </row>
    <row r="124" spans="1:9" x14ac:dyDescent="0.25">
      <c r="A124" s="110"/>
      <c r="B124" s="85"/>
      <c r="C124" s="80"/>
    </row>
    <row r="125" spans="1:9" x14ac:dyDescent="0.25">
      <c r="A125" s="110"/>
      <c r="B125" s="85"/>
      <c r="C125" s="80"/>
    </row>
    <row r="126" spans="1:9" x14ac:dyDescent="0.25">
      <c r="A126" s="291" t="s">
        <v>105</v>
      </c>
      <c r="B126" s="292"/>
      <c r="C126" s="80"/>
    </row>
    <row r="127" spans="1:9" x14ac:dyDescent="0.25">
      <c r="A127" s="110"/>
      <c r="B127" s="85"/>
      <c r="C127" s="80"/>
    </row>
    <row r="128" spans="1:9" x14ac:dyDescent="0.25">
      <c r="A128" s="288" t="s">
        <v>131</v>
      </c>
      <c r="B128" s="85"/>
      <c r="C128" s="80"/>
    </row>
    <row r="129" spans="1:10" x14ac:dyDescent="0.25">
      <c r="A129" s="110"/>
      <c r="B129" s="85"/>
      <c r="C129" s="80"/>
    </row>
    <row r="130" spans="1:10" s="89" customFormat="1" x14ac:dyDescent="0.25">
      <c r="A130" s="264" t="s">
        <v>101</v>
      </c>
      <c r="B130" s="88"/>
      <c r="C130" s="99"/>
      <c r="D130" s="87"/>
      <c r="H130" s="90"/>
    </row>
    <row r="131" spans="1:10" s="89" customFormat="1" x14ac:dyDescent="0.25">
      <c r="A131" s="264"/>
      <c r="B131" s="88"/>
      <c r="C131" s="99"/>
      <c r="D131" s="87"/>
      <c r="H131" s="90"/>
    </row>
    <row r="132" spans="1:10" s="89" customFormat="1" x14ac:dyDescent="0.25">
      <c r="A132" s="264" t="s">
        <v>176</v>
      </c>
      <c r="B132" s="88"/>
      <c r="C132" s="99"/>
      <c r="D132" s="87"/>
      <c r="H132" s="90"/>
    </row>
    <row r="133" spans="1:10" s="89" customFormat="1" x14ac:dyDescent="0.25">
      <c r="A133" s="264"/>
      <c r="B133" s="88"/>
      <c r="C133" s="99"/>
      <c r="D133" s="87"/>
      <c r="H133" s="90"/>
    </row>
    <row r="134" spans="1:10" s="89" customFormat="1" x14ac:dyDescent="0.25">
      <c r="A134" s="86" t="s">
        <v>169</v>
      </c>
      <c r="B134" s="153"/>
      <c r="C134" s="153"/>
      <c r="D134" s="88"/>
      <c r="E134" s="99"/>
      <c r="F134" s="87"/>
      <c r="G134" s="97"/>
      <c r="J134" s="90"/>
    </row>
    <row r="135" spans="1:10" s="270" customFormat="1" x14ac:dyDescent="0.25">
      <c r="A135" s="270" t="s">
        <v>177</v>
      </c>
      <c r="B135" s="54"/>
      <c r="C135" s="54"/>
      <c r="D135" s="293"/>
      <c r="E135" s="294"/>
      <c r="F135" s="54"/>
      <c r="G135" s="295"/>
      <c r="J135" s="296"/>
    </row>
    <row r="136" spans="1:10" s="270" customFormat="1" x14ac:dyDescent="0.25">
      <c r="B136" s="54"/>
      <c r="C136" s="54"/>
      <c r="D136" s="293"/>
      <c r="E136" s="294"/>
      <c r="F136" s="54"/>
      <c r="G136" s="295"/>
      <c r="J136" s="296"/>
    </row>
    <row r="137" spans="1:10" s="89" customFormat="1" x14ac:dyDescent="0.25">
      <c r="A137" s="87" t="s">
        <v>64</v>
      </c>
      <c r="B137" s="87" t="s">
        <v>65</v>
      </c>
      <c r="C137" s="87"/>
      <c r="D137" s="88"/>
      <c r="E137" s="99"/>
      <c r="F137" s="87"/>
      <c r="G137" s="97"/>
      <c r="J137" s="90"/>
    </row>
    <row r="138" spans="1:10" s="89" customFormat="1" x14ac:dyDescent="0.25">
      <c r="A138" s="99">
        <v>75000</v>
      </c>
      <c r="B138" s="87"/>
      <c r="C138" s="87" t="s">
        <v>66</v>
      </c>
      <c r="D138" s="88"/>
      <c r="E138" s="99"/>
      <c r="F138" s="87"/>
      <c r="G138" s="97"/>
      <c r="J138" s="90"/>
    </row>
    <row r="139" spans="1:10" s="89" customFormat="1" x14ac:dyDescent="0.25">
      <c r="B139" s="99">
        <f>A138</f>
        <v>75000</v>
      </c>
      <c r="C139" s="87" t="s">
        <v>85</v>
      </c>
      <c r="D139" s="88"/>
      <c r="E139" s="99"/>
      <c r="F139" s="87"/>
      <c r="G139" s="97"/>
      <c r="J139" s="90"/>
    </row>
    <row r="140" spans="1:10" s="89" customFormat="1" x14ac:dyDescent="0.25">
      <c r="A140" s="264"/>
      <c r="B140" s="88"/>
      <c r="C140" s="99"/>
      <c r="D140" s="87"/>
      <c r="H140" s="90"/>
    </row>
    <row r="141" spans="1:10" s="89" customFormat="1" x14ac:dyDescent="0.25">
      <c r="A141" s="264"/>
      <c r="B141" s="88"/>
      <c r="C141" s="99"/>
      <c r="D141" s="87"/>
      <c r="H141" s="90"/>
    </row>
    <row r="142" spans="1:10" s="89" customFormat="1" x14ac:dyDescent="0.25">
      <c r="A142" s="288" t="s">
        <v>132</v>
      </c>
      <c r="B142" s="88"/>
      <c r="C142" s="99"/>
      <c r="D142" s="87"/>
      <c r="H142" s="90"/>
    </row>
    <row r="143" spans="1:10" s="89" customFormat="1" x14ac:dyDescent="0.25">
      <c r="A143" s="264"/>
      <c r="B143" s="88"/>
      <c r="C143" s="99"/>
      <c r="D143" s="87"/>
      <c r="H143" s="90"/>
    </row>
    <row r="144" spans="1:10" s="89" customFormat="1" x14ac:dyDescent="0.25">
      <c r="A144" s="219" t="s">
        <v>67</v>
      </c>
      <c r="B144" s="167"/>
      <c r="C144" s="167"/>
      <c r="D144" s="220"/>
      <c r="E144" s="221"/>
      <c r="I144" s="90"/>
    </row>
    <row r="145" spans="1:9" s="89" customFormat="1" x14ac:dyDescent="0.25">
      <c r="A145" s="237"/>
      <c r="B145" s="223"/>
      <c r="C145" s="207"/>
      <c r="D145" s="207"/>
      <c r="E145" s="208"/>
      <c r="F145" s="97"/>
      <c r="I145" s="90"/>
    </row>
    <row r="146" spans="1:9" s="89" customFormat="1" x14ac:dyDescent="0.25">
      <c r="A146" s="224"/>
      <c r="B146" s="91"/>
      <c r="C146" s="91"/>
      <c r="D146" s="91"/>
      <c r="E146" s="210"/>
      <c r="F146" s="97"/>
      <c r="I146" s="90"/>
    </row>
    <row r="147" spans="1:9" s="89" customFormat="1" x14ac:dyDescent="0.25">
      <c r="A147" s="224" t="s">
        <v>23</v>
      </c>
      <c r="B147" s="95" t="s">
        <v>11</v>
      </c>
      <c r="C147" s="126" t="s">
        <v>83</v>
      </c>
      <c r="D147" s="126" t="s">
        <v>89</v>
      </c>
      <c r="E147" s="210" t="s">
        <v>57</v>
      </c>
      <c r="G147" s="253" t="s">
        <v>84</v>
      </c>
      <c r="H147" s="154"/>
      <c r="I147" s="155"/>
    </row>
    <row r="148" spans="1:9" s="89" customFormat="1" x14ac:dyDescent="0.25">
      <c r="A148" s="224" t="s">
        <v>163</v>
      </c>
      <c r="B148" s="98">
        <f>B116</f>
        <v>324312.8670257621</v>
      </c>
      <c r="C148" s="98">
        <f>A138</f>
        <v>75000</v>
      </c>
      <c r="D148" s="98">
        <f t="shared" ref="D148:D155" si="11">-($B$148+$C$148)/8</f>
        <v>-49914.108378220262</v>
      </c>
      <c r="E148" s="238">
        <f t="shared" ref="E148:E155" si="12">SUM(B148:D148)</f>
        <v>349398.75864754186</v>
      </c>
      <c r="F148" s="116"/>
      <c r="G148" s="241">
        <f>SUM(B66:B75)+A104</f>
        <v>500000</v>
      </c>
      <c r="H148" s="242" t="s">
        <v>0</v>
      </c>
      <c r="I148" s="243"/>
    </row>
    <row r="149" spans="1:9" s="89" customFormat="1" x14ac:dyDescent="0.25">
      <c r="A149" s="224" t="s">
        <v>164</v>
      </c>
      <c r="B149" s="98">
        <f t="shared" ref="B149:B155" si="13">E148</f>
        <v>349398.75864754186</v>
      </c>
      <c r="C149" s="91"/>
      <c r="D149" s="98">
        <f t="shared" si="11"/>
        <v>-49914.108378220262</v>
      </c>
      <c r="E149" s="238">
        <f t="shared" si="12"/>
        <v>299484.65026932163</v>
      </c>
      <c r="F149" s="116"/>
      <c r="G149" s="244">
        <f>-SUM(C114:C115,D148:D155)</f>
        <v>480391.08378220256</v>
      </c>
      <c r="H149" s="245" t="s">
        <v>1</v>
      </c>
      <c r="I149" s="246"/>
    </row>
    <row r="150" spans="1:9" s="89" customFormat="1" x14ac:dyDescent="0.25">
      <c r="A150" s="224" t="s">
        <v>165</v>
      </c>
      <c r="B150" s="98">
        <f t="shared" si="13"/>
        <v>299484.65026932163</v>
      </c>
      <c r="C150" s="91"/>
      <c r="D150" s="98">
        <f t="shared" si="11"/>
        <v>-49914.108378220262</v>
      </c>
      <c r="E150" s="238">
        <f t="shared" si="12"/>
        <v>249570.54189110137</v>
      </c>
      <c r="F150" s="116"/>
      <c r="G150" s="247">
        <f>SUM(D88:D97)</f>
        <v>94608.916217797319</v>
      </c>
      <c r="H150" s="156" t="s">
        <v>2</v>
      </c>
      <c r="I150" s="248"/>
    </row>
    <row r="151" spans="1:9" s="89" customFormat="1" x14ac:dyDescent="0.25">
      <c r="A151" s="224" t="s">
        <v>166</v>
      </c>
      <c r="B151" s="98">
        <f t="shared" si="13"/>
        <v>249570.54189110137</v>
      </c>
      <c r="C151" s="91"/>
      <c r="D151" s="98">
        <f t="shared" si="11"/>
        <v>-49914.108378220262</v>
      </c>
      <c r="E151" s="238">
        <f t="shared" si="12"/>
        <v>199656.43351288111</v>
      </c>
      <c r="F151" s="116"/>
      <c r="G151" s="249">
        <f>-B139</f>
        <v>-75000</v>
      </c>
      <c r="H151" s="157" t="s">
        <v>85</v>
      </c>
      <c r="I151" s="250"/>
    </row>
    <row r="152" spans="1:9" s="89" customFormat="1" x14ac:dyDescent="0.25">
      <c r="A152" s="224" t="s">
        <v>167</v>
      </c>
      <c r="B152" s="98">
        <f t="shared" si="13"/>
        <v>199656.43351288111</v>
      </c>
      <c r="C152" s="91"/>
      <c r="D152" s="98">
        <f t="shared" si="11"/>
        <v>-49914.108378220262</v>
      </c>
      <c r="E152" s="238">
        <f t="shared" si="12"/>
        <v>149742.32513466084</v>
      </c>
      <c r="F152" s="116"/>
      <c r="G152" s="251">
        <f>SUM(G149:G151)</f>
        <v>499999.99999999988</v>
      </c>
      <c r="H152" s="157" t="s">
        <v>3</v>
      </c>
      <c r="I152" s="252"/>
    </row>
    <row r="153" spans="1:9" s="89" customFormat="1" x14ac:dyDescent="0.25">
      <c r="A153" s="224" t="s">
        <v>168</v>
      </c>
      <c r="B153" s="98">
        <f t="shared" si="13"/>
        <v>149742.32513466084</v>
      </c>
      <c r="C153" s="91"/>
      <c r="D153" s="98">
        <f t="shared" si="11"/>
        <v>-49914.108378220262</v>
      </c>
      <c r="E153" s="238">
        <f t="shared" si="12"/>
        <v>99828.216756440583</v>
      </c>
      <c r="F153" s="116"/>
      <c r="G153" s="117"/>
      <c r="H153" s="118"/>
      <c r="I153" s="90"/>
    </row>
    <row r="154" spans="1:9" s="89" customFormat="1" x14ac:dyDescent="0.25">
      <c r="A154" s="224" t="s">
        <v>174</v>
      </c>
      <c r="B154" s="98">
        <f t="shared" si="13"/>
        <v>99828.216756440583</v>
      </c>
      <c r="C154" s="91"/>
      <c r="D154" s="98">
        <f t="shared" si="11"/>
        <v>-49914.108378220262</v>
      </c>
      <c r="E154" s="238">
        <f t="shared" si="12"/>
        <v>49914.10837822032</v>
      </c>
      <c r="F154" s="116"/>
      <c r="G154" s="117"/>
      <c r="H154" s="118"/>
      <c r="I154" s="90"/>
    </row>
    <row r="155" spans="1:9" s="89" customFormat="1" x14ac:dyDescent="0.25">
      <c r="A155" s="227" t="s">
        <v>175</v>
      </c>
      <c r="B155" s="228">
        <f t="shared" si="13"/>
        <v>49914.10837822032</v>
      </c>
      <c r="C155" s="239"/>
      <c r="D155" s="228">
        <f t="shared" si="11"/>
        <v>-49914.108378220262</v>
      </c>
      <c r="E155" s="240">
        <f t="shared" si="12"/>
        <v>5.8207660913467407E-11</v>
      </c>
      <c r="F155" s="116"/>
      <c r="G155" s="117"/>
      <c r="H155" s="118"/>
      <c r="I155" s="90"/>
    </row>
    <row r="156" spans="1:9" s="89" customFormat="1" x14ac:dyDescent="0.25">
      <c r="A156" s="264"/>
      <c r="B156" s="88"/>
      <c r="C156" s="99"/>
      <c r="D156" s="87"/>
      <c r="H156" s="90"/>
    </row>
    <row r="157" spans="1:9" s="89" customFormat="1" x14ac:dyDescent="0.25">
      <c r="A157" s="288" t="s">
        <v>145</v>
      </c>
      <c r="B157" s="88"/>
      <c r="C157" s="99"/>
      <c r="D157" s="87"/>
      <c r="H157" s="90"/>
    </row>
    <row r="158" spans="1:9" s="89" customFormat="1" x14ac:dyDescent="0.25">
      <c r="A158" s="264"/>
      <c r="B158" s="88"/>
      <c r="C158" s="99"/>
      <c r="D158" s="87"/>
      <c r="H158" s="90"/>
    </row>
    <row r="159" spans="1:9" x14ac:dyDescent="0.25">
      <c r="A159" s="110" t="s">
        <v>107</v>
      </c>
      <c r="B159" s="85"/>
      <c r="C159" s="80"/>
    </row>
    <row r="160" spans="1:9" x14ac:dyDescent="0.25">
      <c r="A160" s="110" t="s">
        <v>100</v>
      </c>
      <c r="B160" s="85"/>
      <c r="C160" s="80"/>
    </row>
    <row r="161" spans="1:10" x14ac:dyDescent="0.25">
      <c r="E161" s="1"/>
    </row>
    <row r="162" spans="1:10" x14ac:dyDescent="0.25">
      <c r="A162" s="164" t="s">
        <v>28</v>
      </c>
      <c r="B162" s="165"/>
      <c r="C162" s="184"/>
      <c r="D162" s="30"/>
      <c r="E162" s="1"/>
    </row>
    <row r="163" spans="1:10" x14ac:dyDescent="0.25">
      <c r="A163" s="185">
        <v>5000000</v>
      </c>
      <c r="B163" s="186" t="s">
        <v>29</v>
      </c>
      <c r="C163" s="187"/>
      <c r="D163" s="30"/>
      <c r="E163" s="1"/>
    </row>
    <row r="164" spans="1:10" x14ac:dyDescent="0.25">
      <c r="A164" s="188">
        <v>-2000000</v>
      </c>
      <c r="B164" s="85" t="s">
        <v>6</v>
      </c>
      <c r="C164" s="189"/>
      <c r="D164" s="30"/>
      <c r="E164" s="1"/>
    </row>
    <row r="165" spans="1:10" x14ac:dyDescent="0.25">
      <c r="A165" s="190">
        <v>3000000</v>
      </c>
      <c r="B165" s="85" t="s">
        <v>32</v>
      </c>
      <c r="C165" s="189"/>
      <c r="D165" s="30"/>
      <c r="E165" s="1"/>
    </row>
    <row r="166" spans="1:10" x14ac:dyDescent="0.25">
      <c r="A166" s="191">
        <v>100000</v>
      </c>
      <c r="B166" s="179" t="s">
        <v>31</v>
      </c>
      <c r="C166" s="192"/>
      <c r="D166" s="30"/>
      <c r="E166" s="1"/>
    </row>
    <row r="167" spans="1:10" s="89" customFormat="1" x14ac:dyDescent="0.25">
      <c r="A167" s="264"/>
      <c r="B167" s="88"/>
      <c r="C167" s="99"/>
      <c r="D167" s="87"/>
      <c r="H167" s="90"/>
    </row>
    <row r="168" spans="1:10" s="89" customFormat="1" x14ac:dyDescent="0.25">
      <c r="A168" s="205" t="s">
        <v>146</v>
      </c>
      <c r="B168" s="165"/>
      <c r="C168" s="165"/>
      <c r="D168" s="166"/>
      <c r="E168" s="193"/>
      <c r="F168" s="102"/>
      <c r="G168" s="103"/>
      <c r="H168" s="102"/>
      <c r="I168" s="103"/>
      <c r="J168" s="104"/>
    </row>
    <row r="169" spans="1:10" s="89" customFormat="1" x14ac:dyDescent="0.25">
      <c r="A169" s="254" t="s">
        <v>23</v>
      </c>
      <c r="B169" s="255" t="s">
        <v>24</v>
      </c>
      <c r="C169" s="255" t="s">
        <v>147</v>
      </c>
      <c r="D169" s="256" t="s">
        <v>30</v>
      </c>
      <c r="E169" s="208"/>
      <c r="F169" s="104"/>
      <c r="G169" s="104"/>
      <c r="H169" s="105"/>
      <c r="I169" s="104"/>
      <c r="J169" s="104"/>
    </row>
    <row r="170" spans="1:10" s="89" customFormat="1" x14ac:dyDescent="0.25">
      <c r="A170" s="257" t="s">
        <v>161</v>
      </c>
      <c r="B170" s="111">
        <f>A165</f>
        <v>3000000</v>
      </c>
      <c r="C170" s="112">
        <f t="shared" ref="C170:C179" si="14">-$A$166</f>
        <v>-100000</v>
      </c>
      <c r="D170" s="111">
        <f>B170+C170</f>
        <v>2900000</v>
      </c>
      <c r="E170" s="210"/>
      <c r="F170" s="104"/>
      <c r="G170" s="104"/>
      <c r="H170" s="105"/>
      <c r="I170" s="104"/>
      <c r="J170" s="104"/>
    </row>
    <row r="171" spans="1:10" s="89" customFormat="1" x14ac:dyDescent="0.25">
      <c r="A171" s="257" t="s">
        <v>162</v>
      </c>
      <c r="B171" s="111">
        <f t="shared" ref="B171:B179" si="15">D170</f>
        <v>2900000</v>
      </c>
      <c r="C171" s="112">
        <f t="shared" si="14"/>
        <v>-100000</v>
      </c>
      <c r="D171" s="111">
        <f t="shared" ref="D171:D179" si="16">B171+C171</f>
        <v>2800000</v>
      </c>
      <c r="E171" s="210"/>
      <c r="F171" s="106"/>
      <c r="G171" s="104"/>
      <c r="H171" s="107"/>
      <c r="I171" s="104"/>
      <c r="J171" s="104"/>
    </row>
    <row r="172" spans="1:10" s="89" customFormat="1" x14ac:dyDescent="0.25">
      <c r="A172" s="257" t="s">
        <v>163</v>
      </c>
      <c r="B172" s="111">
        <f t="shared" si="15"/>
        <v>2800000</v>
      </c>
      <c r="C172" s="112">
        <f t="shared" si="14"/>
        <v>-100000</v>
      </c>
      <c r="D172" s="111">
        <f t="shared" si="16"/>
        <v>2700000</v>
      </c>
      <c r="E172" s="210"/>
      <c r="F172" s="106"/>
      <c r="G172" s="104"/>
      <c r="H172" s="107"/>
      <c r="I172" s="104"/>
      <c r="J172" s="104"/>
    </row>
    <row r="173" spans="1:10" s="89" customFormat="1" x14ac:dyDescent="0.25">
      <c r="A173" s="257" t="s">
        <v>164</v>
      </c>
      <c r="B173" s="111">
        <f t="shared" si="15"/>
        <v>2700000</v>
      </c>
      <c r="C173" s="112">
        <f t="shared" si="14"/>
        <v>-100000</v>
      </c>
      <c r="D173" s="111">
        <f t="shared" si="16"/>
        <v>2600000</v>
      </c>
      <c r="E173" s="210"/>
      <c r="F173" s="106"/>
      <c r="G173" s="104"/>
      <c r="H173" s="107"/>
      <c r="I173" s="104"/>
      <c r="J173" s="104"/>
    </row>
    <row r="174" spans="1:10" s="89" customFormat="1" x14ac:dyDescent="0.25">
      <c r="A174" s="257" t="s">
        <v>165</v>
      </c>
      <c r="B174" s="111">
        <f t="shared" si="15"/>
        <v>2600000</v>
      </c>
      <c r="C174" s="112">
        <f t="shared" si="14"/>
        <v>-100000</v>
      </c>
      <c r="D174" s="111">
        <f t="shared" si="16"/>
        <v>2500000</v>
      </c>
      <c r="E174" s="210"/>
      <c r="F174" s="106"/>
      <c r="G174" s="104"/>
      <c r="H174" s="107"/>
      <c r="I174" s="104"/>
      <c r="J174" s="104"/>
    </row>
    <row r="175" spans="1:10" s="89" customFormat="1" x14ac:dyDescent="0.25">
      <c r="A175" s="257" t="s">
        <v>166</v>
      </c>
      <c r="B175" s="111">
        <f t="shared" si="15"/>
        <v>2500000</v>
      </c>
      <c r="C175" s="112">
        <f t="shared" si="14"/>
        <v>-100000</v>
      </c>
      <c r="D175" s="111">
        <f t="shared" si="16"/>
        <v>2400000</v>
      </c>
      <c r="E175" s="210"/>
      <c r="F175" s="106"/>
      <c r="G175" s="104"/>
      <c r="H175" s="107"/>
      <c r="I175" s="104"/>
      <c r="J175" s="104"/>
    </row>
    <row r="176" spans="1:10" s="89" customFormat="1" x14ac:dyDescent="0.25">
      <c r="A176" s="257" t="s">
        <v>167</v>
      </c>
      <c r="B176" s="111">
        <f t="shared" si="15"/>
        <v>2400000</v>
      </c>
      <c r="C176" s="112">
        <f t="shared" si="14"/>
        <v>-100000</v>
      </c>
      <c r="D176" s="111">
        <f t="shared" si="16"/>
        <v>2300000</v>
      </c>
      <c r="E176" s="210"/>
      <c r="F176" s="106"/>
      <c r="G176" s="104"/>
      <c r="H176" s="107"/>
      <c r="I176" s="104"/>
      <c r="J176" s="104"/>
    </row>
    <row r="177" spans="1:10" s="89" customFormat="1" x14ac:dyDescent="0.25">
      <c r="A177" s="257" t="s">
        <v>168</v>
      </c>
      <c r="B177" s="111">
        <f t="shared" si="15"/>
        <v>2300000</v>
      </c>
      <c r="C177" s="112">
        <f t="shared" si="14"/>
        <v>-100000</v>
      </c>
      <c r="D177" s="111">
        <f t="shared" si="16"/>
        <v>2200000</v>
      </c>
      <c r="E177" s="210"/>
      <c r="F177" s="106"/>
      <c r="G177" s="104"/>
      <c r="H177" s="107"/>
      <c r="I177" s="104"/>
      <c r="J177" s="104"/>
    </row>
    <row r="178" spans="1:10" s="89" customFormat="1" x14ac:dyDescent="0.25">
      <c r="A178" s="257" t="s">
        <v>174</v>
      </c>
      <c r="B178" s="111">
        <f t="shared" si="15"/>
        <v>2200000</v>
      </c>
      <c r="C178" s="112">
        <f t="shared" si="14"/>
        <v>-100000</v>
      </c>
      <c r="D178" s="111">
        <f t="shared" si="16"/>
        <v>2100000</v>
      </c>
      <c r="E178" s="210"/>
      <c r="F178" s="106"/>
      <c r="G178" s="104"/>
      <c r="H178" s="107"/>
      <c r="I178" s="104"/>
      <c r="J178" s="104"/>
    </row>
    <row r="179" spans="1:10" s="89" customFormat="1" x14ac:dyDescent="0.25">
      <c r="A179" s="258" t="s">
        <v>175</v>
      </c>
      <c r="B179" s="259">
        <f t="shared" si="15"/>
        <v>2100000</v>
      </c>
      <c r="C179" s="260">
        <f t="shared" si="14"/>
        <v>-100000</v>
      </c>
      <c r="D179" s="259">
        <f t="shared" si="16"/>
        <v>2000000</v>
      </c>
      <c r="E179" s="261"/>
      <c r="F179" s="106"/>
      <c r="G179" s="104"/>
      <c r="H179" s="107"/>
      <c r="I179" s="104"/>
      <c r="J179" s="104"/>
    </row>
    <row r="187" spans="1:10" x14ac:dyDescent="0.25">
      <c r="A187" s="152"/>
      <c r="B187" s="85"/>
      <c r="C187" s="81"/>
      <c r="D187" s="30"/>
      <c r="E187" s="1"/>
    </row>
    <row r="191" spans="1:10" x14ac:dyDescent="0.25">
      <c r="A191" s="152"/>
      <c r="B191" s="85"/>
      <c r="C191" s="81"/>
      <c r="D191" s="30"/>
      <c r="E191" s="1"/>
    </row>
    <row r="192" spans="1:10" x14ac:dyDescent="0.25">
      <c r="A192" s="263"/>
      <c r="B192" s="85"/>
      <c r="C192" s="81"/>
      <c r="D192" s="30"/>
      <c r="E192" s="1"/>
    </row>
    <row r="193" spans="1:5" x14ac:dyDescent="0.25">
      <c r="A193" s="263"/>
      <c r="B193" s="85"/>
      <c r="C193" s="81"/>
      <c r="D193" s="30"/>
      <c r="E193" s="1"/>
    </row>
    <row r="194" spans="1:5" x14ac:dyDescent="0.25">
      <c r="E194" s="31"/>
    </row>
    <row r="207" spans="1:5" x14ac:dyDescent="0.25">
      <c r="B207" s="32"/>
      <c r="C207" s="33"/>
      <c r="E207" s="34"/>
    </row>
    <row r="208" spans="1:5" x14ac:dyDescent="0.25">
      <c r="B208" s="32"/>
      <c r="C208" s="33"/>
      <c r="E208" s="34"/>
    </row>
    <row r="209" spans="1:10" x14ac:dyDescent="0.25">
      <c r="B209" s="32"/>
      <c r="C209" s="33"/>
      <c r="E209" s="34"/>
    </row>
    <row r="210" spans="1:10" s="89" customFormat="1" x14ac:dyDescent="0.25">
      <c r="A210" s="86"/>
      <c r="B210" s="87"/>
      <c r="C210" s="87"/>
      <c r="D210" s="88"/>
      <c r="E210" s="87"/>
      <c r="F210" s="87"/>
      <c r="J210" s="90"/>
    </row>
    <row r="211" spans="1:10" s="89" customFormat="1" x14ac:dyDescent="0.25">
      <c r="B211" s="99"/>
      <c r="C211" s="87"/>
      <c r="D211" s="88"/>
      <c r="E211" s="99"/>
      <c r="F211" s="87"/>
      <c r="G211" s="97"/>
      <c r="J211" s="90"/>
    </row>
    <row r="212" spans="1:10" s="89" customFormat="1" x14ac:dyDescent="0.25">
      <c r="A212" s="1"/>
      <c r="B212" s="1"/>
      <c r="C212" s="1"/>
      <c r="D212" s="1"/>
      <c r="E212" s="1"/>
      <c r="F212" s="1"/>
      <c r="J212" s="90"/>
    </row>
    <row r="225" spans="1:12" s="89" customFormat="1" x14ac:dyDescent="0.25">
      <c r="A225" s="101"/>
      <c r="B225" s="95"/>
      <c r="C225" s="126"/>
      <c r="D225" s="91"/>
      <c r="E225" s="119"/>
      <c r="F225" s="87"/>
      <c r="G225" s="116"/>
      <c r="H225" s="117"/>
      <c r="I225" s="118"/>
      <c r="J225" s="90"/>
    </row>
    <row r="226" spans="1:12" s="89" customFormat="1" x14ac:dyDescent="0.25">
      <c r="A226" s="101"/>
      <c r="B226" s="95"/>
      <c r="C226" s="126"/>
      <c r="D226" s="91"/>
      <c r="E226" s="119"/>
      <c r="F226" s="87"/>
      <c r="G226" s="116"/>
      <c r="H226" s="117"/>
      <c r="I226" s="118"/>
      <c r="J226" s="90"/>
    </row>
    <row r="227" spans="1:12" s="91" customFormat="1" x14ac:dyDescent="0.25">
      <c r="A227" s="100"/>
      <c r="B227" s="36"/>
      <c r="C227" s="50"/>
      <c r="D227" s="92"/>
      <c r="E227" s="50"/>
      <c r="F227" s="50"/>
      <c r="J227" s="101"/>
    </row>
    <row r="240" spans="1:12" s="89" customFormat="1" x14ac:dyDescent="0.25">
      <c r="B240" s="87"/>
      <c r="C240" s="87"/>
      <c r="D240" s="88"/>
      <c r="E240" s="87"/>
      <c r="F240" s="87"/>
      <c r="H240" s="106"/>
      <c r="I240" s="104"/>
      <c r="J240" s="107"/>
      <c r="K240" s="104"/>
      <c r="L240" s="104"/>
    </row>
    <row r="241" spans="2:10" s="89" customFormat="1" x14ac:dyDescent="0.25">
      <c r="B241" s="87"/>
      <c r="C241" s="87"/>
      <c r="D241" s="88"/>
      <c r="E241" s="87"/>
      <c r="F241" s="87"/>
      <c r="J241" s="90"/>
    </row>
  </sheetData>
  <mergeCells count="3">
    <mergeCell ref="A36:J36"/>
    <mergeCell ref="A4:J4"/>
    <mergeCell ref="A32:J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6"/>
  <sheetViews>
    <sheetView showGridLines="0" workbookViewId="0">
      <selection activeCell="A225" sqref="A225"/>
    </sheetView>
  </sheetViews>
  <sheetFormatPr defaultRowHeight="14.3" outlineLevelCol="1" x14ac:dyDescent="0.25"/>
  <cols>
    <col min="1" max="1" width="33.375" style="2" customWidth="1"/>
    <col min="2" max="2" width="15.125" style="4" customWidth="1"/>
    <col min="3" max="3" width="24.75" style="8" customWidth="1"/>
    <col min="4" max="4" width="15.75" style="54" customWidth="1"/>
    <col min="5" max="5" width="26.375" style="4" customWidth="1"/>
    <col min="6" max="6" width="15.875" style="4" hidden="1" customWidth="1" outlineLevel="1"/>
    <col min="7" max="7" width="8.875" style="2" hidden="1" customWidth="1" outlineLevel="1"/>
    <col min="8" max="8" width="8.875" customWidth="1" collapsed="1"/>
    <col min="9" max="11" width="8.875" customWidth="1"/>
  </cols>
  <sheetData>
    <row r="1" spans="1:8" ht="14.95" x14ac:dyDescent="0.25">
      <c r="A1" s="62" t="s">
        <v>78</v>
      </c>
    </row>
    <row r="3" spans="1:8" ht="14.95" x14ac:dyDescent="0.25">
      <c r="B3" s="42"/>
    </row>
    <row r="4" spans="1:8" ht="15.8" thickBot="1" x14ac:dyDescent="0.3">
      <c r="A4" s="3"/>
      <c r="B4" s="316" t="s">
        <v>13</v>
      </c>
      <c r="C4" s="317"/>
      <c r="D4" s="55" t="s">
        <v>12</v>
      </c>
    </row>
    <row r="5" spans="1:8" ht="18.7" customHeight="1" thickBot="1" x14ac:dyDescent="0.3">
      <c r="A5" s="61" t="s">
        <v>178</v>
      </c>
      <c r="B5" s="58" t="s">
        <v>8</v>
      </c>
      <c r="C5" s="60" t="s">
        <v>69</v>
      </c>
      <c r="D5" s="58" t="s">
        <v>9</v>
      </c>
      <c r="E5" s="59" t="s">
        <v>14</v>
      </c>
      <c r="F5" s="5"/>
    </row>
    <row r="6" spans="1:8" ht="15.8" x14ac:dyDescent="0.25">
      <c r="A6" s="163" t="s">
        <v>5</v>
      </c>
      <c r="B6" s="12"/>
      <c r="C6" s="13"/>
      <c r="D6" s="52"/>
      <c r="E6" s="25"/>
    </row>
    <row r="7" spans="1:8" ht="14.95" x14ac:dyDescent="0.25">
      <c r="A7" s="2" t="s">
        <v>152</v>
      </c>
      <c r="B7" s="19">
        <f>'Scenario and Data'!D88</f>
        <v>17769.554189110131</v>
      </c>
      <c r="C7" s="20"/>
      <c r="D7" s="19"/>
      <c r="E7" s="25"/>
      <c r="G7" s="265" t="s">
        <v>102</v>
      </c>
    </row>
    <row r="8" spans="1:8" ht="14.95" x14ac:dyDescent="0.25">
      <c r="A8" s="2" t="s">
        <v>87</v>
      </c>
      <c r="B8" s="21"/>
      <c r="C8" s="20"/>
      <c r="D8" s="19">
        <f>-'Scenario and Data'!A104</f>
        <v>-50000</v>
      </c>
      <c r="E8" s="25"/>
      <c r="G8" s="265" t="s">
        <v>103</v>
      </c>
    </row>
    <row r="9" spans="1:8" x14ac:dyDescent="0.25">
      <c r="A9" s="2" t="s">
        <v>4</v>
      </c>
      <c r="B9" s="21"/>
      <c r="C9" s="22">
        <f>-'Scenario and Data'!C114</f>
        <v>40539.108378220262</v>
      </c>
      <c r="D9" s="52"/>
      <c r="E9" s="15">
        <f>-'Scenario and Data'!C170</f>
        <v>100000</v>
      </c>
      <c r="G9" s="265" t="s">
        <v>170</v>
      </c>
    </row>
    <row r="10" spans="1:8" ht="15.8" thickBot="1" x14ac:dyDescent="0.3">
      <c r="A10" s="3" t="s">
        <v>7</v>
      </c>
      <c r="B10" s="45">
        <f>SUM(B7:B9)</f>
        <v>17769.554189110131</v>
      </c>
      <c r="C10" s="46">
        <f>SUM(C7:C9)</f>
        <v>40539.108378220262</v>
      </c>
      <c r="D10" s="45">
        <f>SUM(D7:D9)</f>
        <v>-50000</v>
      </c>
      <c r="E10" s="17">
        <f>SUM(E7:E9)</f>
        <v>100000</v>
      </c>
      <c r="F10" s="6"/>
    </row>
    <row r="11" spans="1:8" ht="16.5" thickTop="1" thickBot="1" x14ac:dyDescent="0.3">
      <c r="A11" s="3"/>
      <c r="B11" s="35"/>
      <c r="C11" s="35"/>
      <c r="D11" s="35"/>
      <c r="E11" s="26"/>
      <c r="F11" s="6"/>
    </row>
    <row r="12" spans="1:8" ht="16.5" thickBot="1" x14ac:dyDescent="0.3">
      <c r="A12" s="163" t="s">
        <v>25</v>
      </c>
      <c r="B12" s="58" t="s">
        <v>8</v>
      </c>
      <c r="C12" s="60" t="s">
        <v>69</v>
      </c>
      <c r="D12" s="58" t="s">
        <v>9</v>
      </c>
      <c r="E12" s="59" t="s">
        <v>14</v>
      </c>
    </row>
    <row r="13" spans="1:8" ht="14.95" x14ac:dyDescent="0.25">
      <c r="A13" s="11" t="s">
        <v>153</v>
      </c>
      <c r="B13" s="21"/>
      <c r="C13" s="27">
        <f>-B15</f>
        <v>355391.08378220262</v>
      </c>
      <c r="D13" s="52"/>
      <c r="E13" s="15"/>
      <c r="G13" s="266"/>
      <c r="H13" s="43"/>
    </row>
    <row r="14" spans="1:8" ht="14.95" x14ac:dyDescent="0.25">
      <c r="A14" s="11" t="s">
        <v>99</v>
      </c>
      <c r="B14" s="21"/>
      <c r="C14" s="27">
        <f>-B18</f>
        <v>50000</v>
      </c>
      <c r="D14" s="52"/>
      <c r="E14" s="15"/>
      <c r="H14" s="43"/>
    </row>
    <row r="15" spans="1:8" ht="14.95" x14ac:dyDescent="0.25">
      <c r="A15" s="10" t="s">
        <v>154</v>
      </c>
      <c r="B15" s="19">
        <f>-'Scenario and Data'!A85</f>
        <v>-355391.08378220262</v>
      </c>
      <c r="C15" s="20"/>
      <c r="D15" s="52"/>
      <c r="E15" s="15"/>
      <c r="H15" s="43"/>
    </row>
    <row r="16" spans="1:8" ht="14.95" x14ac:dyDescent="0.25">
      <c r="A16" s="2" t="s">
        <v>27</v>
      </c>
      <c r="B16" s="19">
        <f>-B7</f>
        <v>-17769.554189110131</v>
      </c>
      <c r="C16" s="20"/>
      <c r="D16" s="53"/>
      <c r="E16" s="15"/>
      <c r="H16" s="43"/>
    </row>
    <row r="17" spans="1:8" ht="14.95" x14ac:dyDescent="0.25">
      <c r="A17" s="2" t="s">
        <v>6</v>
      </c>
      <c r="B17" s="21"/>
      <c r="C17" s="22">
        <f>'Scenario and Data'!C114</f>
        <v>-40539.108378220262</v>
      </c>
      <c r="D17" s="19"/>
      <c r="E17" s="15">
        <f>-E9</f>
        <v>-100000</v>
      </c>
      <c r="H17" s="43"/>
    </row>
    <row r="18" spans="1:8" ht="14.95" x14ac:dyDescent="0.25">
      <c r="A18" s="2" t="s">
        <v>155</v>
      </c>
      <c r="B18" s="19">
        <f>-'Scenario and Data'!A104</f>
        <v>-50000</v>
      </c>
      <c r="C18" s="47"/>
      <c r="D18" s="19">
        <f>'Scenario and Data'!A104</f>
        <v>50000</v>
      </c>
      <c r="E18" s="25"/>
      <c r="H18" s="2"/>
    </row>
    <row r="19" spans="1:8" ht="14.95" x14ac:dyDescent="0.25">
      <c r="B19" s="19"/>
      <c r="C19" s="20"/>
      <c r="D19" s="52"/>
      <c r="E19" s="15"/>
      <c r="H19" s="2"/>
    </row>
    <row r="20" spans="1:8" ht="15.8" thickBot="1" x14ac:dyDescent="0.3">
      <c r="A20" s="3" t="s">
        <v>159</v>
      </c>
      <c r="B20" s="45">
        <f>SUM(B13:B19)</f>
        <v>-423160.63797131274</v>
      </c>
      <c r="C20" s="46">
        <f>SUM(C13:C19)</f>
        <v>364851.97540398233</v>
      </c>
      <c r="D20" s="45">
        <f>SUM(D13:D19)</f>
        <v>50000</v>
      </c>
      <c r="E20" s="17">
        <f>SUM(E13:E19)</f>
        <v>-100000</v>
      </c>
      <c r="F20" s="6"/>
      <c r="H20" s="2"/>
    </row>
    <row r="21" spans="1:8" ht="15.8" thickTop="1" x14ac:dyDescent="0.25">
      <c r="B21" s="21"/>
      <c r="C21" s="20"/>
      <c r="D21" s="52"/>
      <c r="E21" s="15"/>
      <c r="H21" s="2"/>
    </row>
    <row r="22" spans="1:8" ht="14.95" x14ac:dyDescent="0.25">
      <c r="A22" s="2" t="s">
        <v>17</v>
      </c>
      <c r="B22" s="19">
        <f>B15+B16</f>
        <v>-373160.63797131274</v>
      </c>
      <c r="C22" s="20"/>
      <c r="D22" s="52"/>
      <c r="E22" s="15"/>
      <c r="H22" s="2"/>
    </row>
    <row r="23" spans="1:8" ht="14.95" x14ac:dyDescent="0.25">
      <c r="A23" s="2" t="s">
        <v>18</v>
      </c>
      <c r="B23" s="19"/>
      <c r="C23" s="47">
        <f>C20</f>
        <v>364851.97540398233</v>
      </c>
      <c r="D23" s="52"/>
      <c r="E23" s="15"/>
      <c r="H23" s="2"/>
    </row>
    <row r="24" spans="1:8" ht="14.95" x14ac:dyDescent="0.25">
      <c r="A24" s="2" t="s">
        <v>98</v>
      </c>
      <c r="B24" s="21"/>
      <c r="C24" s="22"/>
      <c r="D24" s="19"/>
      <c r="E24" s="15">
        <f>'Scenario and Data'!B170+E17</f>
        <v>2900000</v>
      </c>
      <c r="H24" s="2"/>
    </row>
    <row r="25" spans="1:8" ht="15.8" thickBot="1" x14ac:dyDescent="0.3">
      <c r="A25" s="3" t="s">
        <v>15</v>
      </c>
      <c r="B25" s="45">
        <f>SUM(B22:B24)</f>
        <v>-373160.63797131274</v>
      </c>
      <c r="C25" s="46">
        <f t="shared" ref="C25:E25" si="0">SUM(C22:C24)</f>
        <v>364851.97540398233</v>
      </c>
      <c r="D25" s="45"/>
      <c r="E25" s="17">
        <f t="shared" si="0"/>
        <v>2900000</v>
      </c>
      <c r="F25" s="6"/>
      <c r="H25" s="2"/>
    </row>
    <row r="26" spans="1:8" ht="15.8" thickTop="1" x14ac:dyDescent="0.25">
      <c r="B26" s="48"/>
      <c r="C26" s="49"/>
      <c r="D26" s="49"/>
      <c r="E26" s="49"/>
      <c r="H26" s="2"/>
    </row>
    <row r="27" spans="1:8" ht="14.95" x14ac:dyDescent="0.25">
      <c r="B27" s="50"/>
      <c r="C27" s="51"/>
      <c r="D27" s="51"/>
      <c r="E27" s="7"/>
      <c r="H27" s="2"/>
    </row>
    <row r="28" spans="1:8" ht="15.8" thickBot="1" x14ac:dyDescent="0.3">
      <c r="B28" s="314" t="s">
        <v>13</v>
      </c>
      <c r="C28" s="315"/>
      <c r="D28" s="55" t="s">
        <v>12</v>
      </c>
      <c r="E28" s="7"/>
      <c r="H28" s="2"/>
    </row>
    <row r="29" spans="1:8" ht="17" customHeight="1" thickBot="1" x14ac:dyDescent="0.3">
      <c r="A29" s="61" t="s">
        <v>179</v>
      </c>
      <c r="B29" s="58" t="s">
        <v>8</v>
      </c>
      <c r="C29" s="60" t="s">
        <v>69</v>
      </c>
      <c r="D29" s="58" t="s">
        <v>9</v>
      </c>
      <c r="E29" s="59" t="s">
        <v>14</v>
      </c>
      <c r="F29" s="5"/>
      <c r="H29" s="2"/>
    </row>
    <row r="30" spans="1:8" ht="15.8" x14ac:dyDescent="0.25">
      <c r="A30" s="163" t="s">
        <v>5</v>
      </c>
      <c r="B30" s="21"/>
      <c r="C30" s="51"/>
      <c r="D30" s="52"/>
      <c r="E30" s="25"/>
      <c r="H30" s="2"/>
    </row>
    <row r="31" spans="1:8" x14ac:dyDescent="0.25">
      <c r="A31" s="2" t="s">
        <v>152</v>
      </c>
      <c r="B31" s="19">
        <f>'Scenario and Data'!D89</f>
        <v>16158.031898565638</v>
      </c>
      <c r="C31" s="20"/>
      <c r="D31" s="19"/>
      <c r="E31" s="25"/>
      <c r="H31" s="44"/>
    </row>
    <row r="32" spans="1:8" x14ac:dyDescent="0.25">
      <c r="A32" s="2" t="s">
        <v>87</v>
      </c>
      <c r="B32" s="12"/>
      <c r="C32" s="13"/>
      <c r="D32" s="19">
        <f>'Scenario and Data'!C89</f>
        <v>-50000</v>
      </c>
      <c r="E32" s="25"/>
      <c r="H32" s="2"/>
    </row>
    <row r="33" spans="1:8" x14ac:dyDescent="0.25">
      <c r="A33" s="2" t="s">
        <v>4</v>
      </c>
      <c r="B33" s="12"/>
      <c r="C33" s="22">
        <f>-'Scenario and Data'!C115</f>
        <v>40539.108378220262</v>
      </c>
      <c r="D33" s="52"/>
      <c r="E33" s="15">
        <f>-'Scenario and Data'!C171</f>
        <v>100000</v>
      </c>
      <c r="H33" s="2"/>
    </row>
    <row r="34" spans="1:8" ht="14.95" thickBot="1" x14ac:dyDescent="0.3">
      <c r="A34" s="3" t="s">
        <v>7</v>
      </c>
      <c r="B34" s="16">
        <f>SUM(B31:B33)</f>
        <v>16158.031898565638</v>
      </c>
      <c r="C34" s="17">
        <f>SUM(C31:C33)</f>
        <v>40539.108378220262</v>
      </c>
      <c r="D34" s="45">
        <f>SUM(D31:D33)</f>
        <v>-50000</v>
      </c>
      <c r="E34" s="17">
        <f>SUM(E31:E33)</f>
        <v>100000</v>
      </c>
      <c r="F34" s="6"/>
      <c r="H34" s="2"/>
    </row>
    <row r="35" spans="1:8" ht="15.65" thickTop="1" thickBot="1" x14ac:dyDescent="0.3">
      <c r="A35" s="3"/>
      <c r="B35" s="40"/>
      <c r="C35" s="40"/>
      <c r="D35" s="41"/>
      <c r="E35" s="40"/>
      <c r="F35" s="6"/>
      <c r="H35" s="2"/>
    </row>
    <row r="36" spans="1:8" ht="16.3" x14ac:dyDescent="0.3">
      <c r="A36" s="163" t="s">
        <v>25</v>
      </c>
      <c r="B36" s="37"/>
      <c r="C36" s="38"/>
      <c r="D36" s="56"/>
      <c r="E36" s="39"/>
      <c r="H36" s="2"/>
    </row>
    <row r="37" spans="1:8" x14ac:dyDescent="0.25">
      <c r="A37" s="2" t="s">
        <v>27</v>
      </c>
      <c r="B37" s="19">
        <f>-B31</f>
        <v>-16158.031898565638</v>
      </c>
      <c r="C37" s="20"/>
      <c r="D37" s="53"/>
      <c r="E37" s="15"/>
      <c r="H37" s="2"/>
    </row>
    <row r="38" spans="1:8" x14ac:dyDescent="0.25">
      <c r="A38" s="2" t="s">
        <v>6</v>
      </c>
      <c r="B38" s="21"/>
      <c r="C38" s="22">
        <f>'Scenario and Data'!C115</f>
        <v>-40539.108378220262</v>
      </c>
      <c r="D38" s="19"/>
      <c r="E38" s="15">
        <f>-E33</f>
        <v>-100000</v>
      </c>
      <c r="H38" s="2"/>
    </row>
    <row r="39" spans="1:8" x14ac:dyDescent="0.25">
      <c r="A39" s="2" t="s">
        <v>16</v>
      </c>
      <c r="B39" s="19">
        <f>-'Scenario and Data'!C89</f>
        <v>50000</v>
      </c>
      <c r="C39" s="22"/>
      <c r="D39" s="19"/>
      <c r="E39" s="15"/>
      <c r="H39" s="2"/>
    </row>
    <row r="40" spans="1:8" x14ac:dyDescent="0.25">
      <c r="A40" s="2" t="s">
        <v>155</v>
      </c>
      <c r="B40" s="14">
        <f>'Scenario and Data'!C89</f>
        <v>-50000</v>
      </c>
      <c r="C40" s="18"/>
      <c r="D40" s="19">
        <f>-D32</f>
        <v>50000</v>
      </c>
      <c r="E40" s="25"/>
      <c r="H40" s="2"/>
    </row>
    <row r="41" spans="1:8" x14ac:dyDescent="0.25">
      <c r="B41" s="14"/>
      <c r="C41" s="13"/>
      <c r="D41" s="52"/>
      <c r="E41" s="15"/>
      <c r="H41" s="2"/>
    </row>
    <row r="42" spans="1:8" ht="14.95" thickBot="1" x14ac:dyDescent="0.3">
      <c r="A42" s="3" t="s">
        <v>159</v>
      </c>
      <c r="B42" s="16">
        <f>SUM(B37:B40)</f>
        <v>-16158.031898565634</v>
      </c>
      <c r="C42" s="17">
        <f>SUM(C37:C40)</f>
        <v>-40539.108378220262</v>
      </c>
      <c r="D42" s="45">
        <f>SUM(D37:D40)</f>
        <v>50000</v>
      </c>
      <c r="E42" s="17">
        <f>SUM(E37:E40)</f>
        <v>-100000</v>
      </c>
      <c r="F42" s="6"/>
      <c r="H42" s="2"/>
    </row>
    <row r="43" spans="1:8" ht="14.95" thickTop="1" x14ac:dyDescent="0.25">
      <c r="B43" s="12"/>
      <c r="C43" s="13"/>
      <c r="D43" s="52"/>
      <c r="E43" s="15"/>
      <c r="H43" s="2"/>
    </row>
    <row r="44" spans="1:8" x14ac:dyDescent="0.25">
      <c r="A44" s="2" t="s">
        <v>17</v>
      </c>
      <c r="B44" s="14">
        <f>B22+B37+B39</f>
        <v>-339318.66986987839</v>
      </c>
      <c r="C44" s="13"/>
      <c r="D44" s="52"/>
      <c r="E44" s="15"/>
      <c r="H44" s="2"/>
    </row>
    <row r="45" spans="1:8" x14ac:dyDescent="0.25">
      <c r="A45" s="2" t="s">
        <v>18</v>
      </c>
      <c r="B45" s="14"/>
      <c r="C45" s="18">
        <f>C23+C38</f>
        <v>324312.8670257621</v>
      </c>
      <c r="D45" s="52"/>
      <c r="E45" s="15"/>
      <c r="H45" s="2"/>
    </row>
    <row r="46" spans="1:8" x14ac:dyDescent="0.25">
      <c r="A46" s="2" t="s">
        <v>98</v>
      </c>
      <c r="B46" s="12"/>
      <c r="C46" s="15"/>
      <c r="D46" s="19"/>
      <c r="E46" s="15">
        <f>E24+E38</f>
        <v>2800000</v>
      </c>
      <c r="H46" s="2"/>
    </row>
    <row r="47" spans="1:8" ht="14.95" thickBot="1" x14ac:dyDescent="0.3">
      <c r="A47" s="3" t="s">
        <v>15</v>
      </c>
      <c r="B47" s="23">
        <f>SUM(B44:B46)</f>
        <v>-339318.66986987839</v>
      </c>
      <c r="C47" s="24">
        <f t="shared" ref="C47:E47" si="1">SUM(C44:C46)</f>
        <v>324312.8670257621</v>
      </c>
      <c r="D47" s="57">
        <f t="shared" si="1"/>
        <v>0</v>
      </c>
      <c r="E47" s="24">
        <f t="shared" si="1"/>
        <v>2800000</v>
      </c>
      <c r="F47" s="6"/>
      <c r="H47" s="2"/>
    </row>
    <row r="48" spans="1:8" ht="14.95" thickTop="1" x14ac:dyDescent="0.25">
      <c r="C48" s="49"/>
      <c r="D48" s="49"/>
      <c r="E48" s="49"/>
      <c r="H48" s="2"/>
    </row>
    <row r="49" spans="1:8" ht="14.95" thickBot="1" x14ac:dyDescent="0.3">
      <c r="B49" s="314" t="s">
        <v>13</v>
      </c>
      <c r="C49" s="315"/>
      <c r="D49" s="55" t="s">
        <v>12</v>
      </c>
      <c r="E49" s="7"/>
      <c r="H49" s="2"/>
    </row>
    <row r="50" spans="1:8" ht="16.149999999999999" customHeight="1" thickBot="1" x14ac:dyDescent="0.3">
      <c r="A50" s="61" t="s">
        <v>180</v>
      </c>
      <c r="B50" s="58" t="s">
        <v>8</v>
      </c>
      <c r="C50" s="60" t="s">
        <v>69</v>
      </c>
      <c r="D50" s="58" t="s">
        <v>9</v>
      </c>
      <c r="E50" s="59" t="s">
        <v>14</v>
      </c>
      <c r="F50" s="5"/>
      <c r="H50" s="2"/>
    </row>
    <row r="51" spans="1:8" ht="16.3" x14ac:dyDescent="0.3">
      <c r="A51" s="163" t="s">
        <v>5</v>
      </c>
      <c r="B51" s="21"/>
      <c r="C51" s="51"/>
      <c r="D51" s="52"/>
      <c r="E51" s="25"/>
      <c r="H51" s="2"/>
    </row>
    <row r="52" spans="1:8" x14ac:dyDescent="0.25">
      <c r="A52" s="2" t="s">
        <v>152</v>
      </c>
      <c r="B52" s="19">
        <f>'Scenario and Data'!D90</f>
        <v>14465.93349349392</v>
      </c>
      <c r="C52" s="20"/>
      <c r="D52" s="19"/>
      <c r="E52" s="25"/>
      <c r="H52" s="44"/>
    </row>
    <row r="53" spans="1:8" x14ac:dyDescent="0.25">
      <c r="A53" s="2" t="s">
        <v>87</v>
      </c>
      <c r="B53" s="12"/>
      <c r="C53" s="13"/>
      <c r="D53" s="19">
        <f>'Scenario and Data'!C90</f>
        <v>-50000</v>
      </c>
      <c r="E53" s="25"/>
      <c r="H53" s="2"/>
    </row>
    <row r="54" spans="1:8" x14ac:dyDescent="0.25">
      <c r="A54" s="2" t="s">
        <v>4</v>
      </c>
      <c r="B54" s="12"/>
      <c r="C54" s="22">
        <f>-'Scenario and Data'!D148</f>
        <v>49914.108378220262</v>
      </c>
      <c r="D54" s="52"/>
      <c r="E54" s="15">
        <f>-'Scenario and Data'!C172</f>
        <v>100000</v>
      </c>
      <c r="H54" s="2"/>
    </row>
    <row r="55" spans="1:8" ht="14.95" thickBot="1" x14ac:dyDescent="0.3">
      <c r="A55" s="3" t="s">
        <v>7</v>
      </c>
      <c r="B55" s="16">
        <f>SUM(B52:B54)</f>
        <v>14465.93349349392</v>
      </c>
      <c r="C55" s="17">
        <f>SUM(C52:C54)</f>
        <v>49914.108378220262</v>
      </c>
      <c r="D55" s="45">
        <f>SUM(D52:D54)</f>
        <v>-50000</v>
      </c>
      <c r="E55" s="17">
        <f>SUM(E52:E54)</f>
        <v>100000</v>
      </c>
      <c r="F55" s="6"/>
      <c r="H55" s="2"/>
    </row>
    <row r="56" spans="1:8" ht="15.65" thickTop="1" thickBot="1" x14ac:dyDescent="0.3">
      <c r="A56" s="3"/>
      <c r="B56" s="40"/>
      <c r="C56" s="40"/>
      <c r="D56" s="41"/>
      <c r="E56" s="40"/>
      <c r="F56" s="6"/>
      <c r="H56" s="2"/>
    </row>
    <row r="57" spans="1:8" ht="16.3" x14ac:dyDescent="0.3">
      <c r="A57" s="163" t="s">
        <v>25</v>
      </c>
      <c r="B57" s="37"/>
      <c r="C57" s="38"/>
      <c r="D57" s="56"/>
      <c r="E57" s="39"/>
      <c r="H57" s="2"/>
    </row>
    <row r="58" spans="1:8" x14ac:dyDescent="0.25">
      <c r="A58" s="2" t="s">
        <v>156</v>
      </c>
      <c r="B58" s="12"/>
      <c r="C58" s="47">
        <f>'Scenario and Data'!A138</f>
        <v>75000</v>
      </c>
      <c r="D58" s="52"/>
      <c r="E58" s="15"/>
      <c r="G58" s="2" t="s">
        <v>105</v>
      </c>
      <c r="H58" s="2"/>
    </row>
    <row r="59" spans="1:8" x14ac:dyDescent="0.25">
      <c r="A59" s="2" t="s">
        <v>27</v>
      </c>
      <c r="B59" s="19">
        <f>-B52</f>
        <v>-14465.93349349392</v>
      </c>
      <c r="C59" s="47"/>
      <c r="D59" s="53"/>
      <c r="E59" s="15"/>
      <c r="H59" s="2"/>
    </row>
    <row r="60" spans="1:8" x14ac:dyDescent="0.25">
      <c r="A60" s="2" t="s">
        <v>6</v>
      </c>
      <c r="B60" s="21"/>
      <c r="C60" s="47">
        <f>-C54</f>
        <v>-49914.108378220262</v>
      </c>
      <c r="D60" s="19"/>
      <c r="E60" s="15">
        <f>-E54</f>
        <v>-100000</v>
      </c>
      <c r="G60" s="2" t="s">
        <v>106</v>
      </c>
      <c r="H60" s="2"/>
    </row>
    <row r="61" spans="1:8" x14ac:dyDescent="0.25">
      <c r="A61" s="2" t="s">
        <v>16</v>
      </c>
      <c r="B61" s="19">
        <f>-'Scenario and Data'!C90</f>
        <v>50000</v>
      </c>
      <c r="C61" s="47"/>
      <c r="D61" s="19"/>
      <c r="E61" s="15"/>
      <c r="H61" s="2"/>
    </row>
    <row r="62" spans="1:8" x14ac:dyDescent="0.25">
      <c r="A62" s="2" t="s">
        <v>155</v>
      </c>
      <c r="B62" s="14">
        <f>'Scenario and Data'!C89</f>
        <v>-50000</v>
      </c>
      <c r="C62" s="18"/>
      <c r="D62" s="19">
        <v>50000</v>
      </c>
      <c r="E62" s="25"/>
      <c r="H62" s="2"/>
    </row>
    <row r="63" spans="1:8" x14ac:dyDescent="0.25">
      <c r="B63" s="14"/>
      <c r="C63" s="13"/>
      <c r="D63" s="52"/>
      <c r="E63" s="15"/>
      <c r="H63" s="2"/>
    </row>
    <row r="64" spans="1:8" ht="14.95" thickBot="1" x14ac:dyDescent="0.3">
      <c r="A64" s="3" t="s">
        <v>159</v>
      </c>
      <c r="B64" s="16">
        <f>SUM(B59:B62)</f>
        <v>-14465.933493493918</v>
      </c>
      <c r="C64" s="304">
        <f>SUM(C59:C62)</f>
        <v>-49914.108378220262</v>
      </c>
      <c r="D64" s="45">
        <f>SUM(D59:D62)</f>
        <v>50000</v>
      </c>
      <c r="E64" s="17">
        <f>SUM(E59:E62)</f>
        <v>-100000</v>
      </c>
      <c r="F64" s="6"/>
      <c r="H64" s="2"/>
    </row>
    <row r="65" spans="1:8" ht="14.95" thickTop="1" x14ac:dyDescent="0.25">
      <c r="B65" s="12"/>
      <c r="C65" s="13"/>
      <c r="D65" s="52"/>
      <c r="E65" s="15"/>
      <c r="H65" s="2"/>
    </row>
    <row r="66" spans="1:8" x14ac:dyDescent="0.25">
      <c r="A66" s="2" t="s">
        <v>17</v>
      </c>
      <c r="B66" s="14">
        <f>B44+B59+B61</f>
        <v>-303784.60336337233</v>
      </c>
      <c r="C66" s="13"/>
      <c r="D66" s="52"/>
      <c r="E66" s="15"/>
      <c r="H66" s="2"/>
    </row>
    <row r="67" spans="1:8" x14ac:dyDescent="0.25">
      <c r="A67" s="2" t="s">
        <v>18</v>
      </c>
      <c r="B67" s="14"/>
      <c r="C67" s="18">
        <f>C45+C60+C58</f>
        <v>349398.75864754186</v>
      </c>
      <c r="D67" s="52"/>
      <c r="E67" s="15"/>
      <c r="H67" s="2"/>
    </row>
    <row r="68" spans="1:8" x14ac:dyDescent="0.25">
      <c r="A68" s="2" t="s">
        <v>98</v>
      </c>
      <c r="B68" s="12"/>
      <c r="C68" s="18"/>
      <c r="D68" s="19"/>
      <c r="E68" s="15">
        <f>E46+E60</f>
        <v>2700000</v>
      </c>
      <c r="H68" s="2"/>
    </row>
    <row r="69" spans="1:8" x14ac:dyDescent="0.25">
      <c r="A69" s="2" t="s">
        <v>86</v>
      </c>
      <c r="B69" s="12"/>
      <c r="C69" s="47">
        <f>-'Scenario and Data'!B139</f>
        <v>-75000</v>
      </c>
      <c r="D69" s="19"/>
      <c r="E69" s="15"/>
      <c r="G69" s="2" t="s">
        <v>104</v>
      </c>
      <c r="H69" s="2"/>
    </row>
    <row r="70" spans="1:8" ht="14.95" thickBot="1" x14ac:dyDescent="0.3">
      <c r="A70" s="3" t="s">
        <v>15</v>
      </c>
      <c r="B70" s="23">
        <f>SUM(B66:B68)</f>
        <v>-303784.60336337233</v>
      </c>
      <c r="C70" s="24">
        <f>SUM(C66:C69)</f>
        <v>274398.75864754186</v>
      </c>
      <c r="D70" s="57">
        <f>SUM(D66:D68)</f>
        <v>0</v>
      </c>
      <c r="E70" s="24">
        <f t="shared" ref="E70" si="2">SUM(E66:E68)</f>
        <v>2700000</v>
      </c>
      <c r="F70" s="6"/>
      <c r="H70" s="2"/>
    </row>
    <row r="71" spans="1:8" x14ac:dyDescent="0.25">
      <c r="H71" s="2"/>
    </row>
    <row r="72" spans="1:8" ht="14.95" thickBot="1" x14ac:dyDescent="0.3">
      <c r="B72" s="314" t="s">
        <v>13</v>
      </c>
      <c r="C72" s="315"/>
      <c r="D72" s="55" t="s">
        <v>12</v>
      </c>
      <c r="E72" s="7"/>
      <c r="H72" s="2"/>
    </row>
    <row r="73" spans="1:8" ht="14.95" thickBot="1" x14ac:dyDescent="0.3">
      <c r="A73" s="61" t="s">
        <v>181</v>
      </c>
      <c r="B73" s="58" t="s">
        <v>8</v>
      </c>
      <c r="C73" s="60" t="s">
        <v>69</v>
      </c>
      <c r="D73" s="58" t="s">
        <v>9</v>
      </c>
      <c r="E73" s="59" t="s">
        <v>14</v>
      </c>
      <c r="F73" s="5"/>
      <c r="H73" s="2"/>
    </row>
    <row r="74" spans="1:8" ht="16.3" x14ac:dyDescent="0.3">
      <c r="A74" s="163" t="s">
        <v>5</v>
      </c>
      <c r="B74" s="21"/>
      <c r="C74" s="51"/>
      <c r="D74" s="52"/>
      <c r="E74" s="25"/>
      <c r="H74" s="2"/>
    </row>
    <row r="75" spans="1:8" x14ac:dyDescent="0.25">
      <c r="A75" s="2" t="s">
        <v>152</v>
      </c>
      <c r="B75" s="19">
        <f>'Scenario and Data'!D91</f>
        <v>12689.230168168617</v>
      </c>
      <c r="C75" s="20"/>
      <c r="D75" s="53"/>
      <c r="E75" s="25"/>
      <c r="H75" s="2"/>
    </row>
    <row r="76" spans="1:8" x14ac:dyDescent="0.25">
      <c r="A76" s="2" t="s">
        <v>87</v>
      </c>
      <c r="B76" s="12"/>
      <c r="C76" s="13"/>
      <c r="D76" s="19">
        <f>'Scenario and Data'!C91</f>
        <v>-50000</v>
      </c>
      <c r="E76" s="25"/>
      <c r="H76" s="2"/>
    </row>
    <row r="77" spans="1:8" x14ac:dyDescent="0.25">
      <c r="A77" s="2" t="s">
        <v>4</v>
      </c>
      <c r="B77" s="12"/>
      <c r="C77" s="22">
        <f>-'Scenario and Data'!D149</f>
        <v>49914.108378220262</v>
      </c>
      <c r="D77" s="52"/>
      <c r="E77" s="15">
        <f>-'Scenario and Data'!C173</f>
        <v>100000</v>
      </c>
      <c r="H77" s="2"/>
    </row>
    <row r="78" spans="1:8" ht="14.95" thickBot="1" x14ac:dyDescent="0.3">
      <c r="A78" s="3" t="s">
        <v>7</v>
      </c>
      <c r="B78" s="16">
        <f>SUM(B75:B77)</f>
        <v>12689.230168168617</v>
      </c>
      <c r="C78" s="17">
        <f>SUM(C75:C77)</f>
        <v>49914.108378220262</v>
      </c>
      <c r="D78" s="45">
        <f>SUM(D75:D77)</f>
        <v>-50000</v>
      </c>
      <c r="E78" s="17">
        <f>SUM(E75:E77)</f>
        <v>100000</v>
      </c>
      <c r="F78" s="6"/>
      <c r="H78" s="2"/>
    </row>
    <row r="79" spans="1:8" ht="15.65" thickTop="1" thickBot="1" x14ac:dyDescent="0.3">
      <c r="A79" s="3"/>
      <c r="B79" s="40"/>
      <c r="C79" s="40"/>
      <c r="D79" s="41"/>
      <c r="E79" s="40"/>
      <c r="F79" s="6"/>
      <c r="H79" s="2"/>
    </row>
    <row r="80" spans="1:8" ht="16.3" x14ac:dyDescent="0.3">
      <c r="A80" s="163" t="s">
        <v>25</v>
      </c>
      <c r="B80" s="37"/>
      <c r="C80" s="38"/>
      <c r="D80" s="56"/>
      <c r="E80" s="39"/>
      <c r="H80" s="2"/>
    </row>
    <row r="81" spans="1:8" x14ac:dyDescent="0.25">
      <c r="A81" s="2" t="s">
        <v>27</v>
      </c>
      <c r="B81" s="19">
        <f>-B75</f>
        <v>-12689.230168168617</v>
      </c>
      <c r="C81" s="20"/>
      <c r="D81" s="53"/>
      <c r="E81" s="15"/>
      <c r="H81" s="2"/>
    </row>
    <row r="82" spans="1:8" x14ac:dyDescent="0.25">
      <c r="A82" s="2" t="s">
        <v>6</v>
      </c>
      <c r="B82" s="21"/>
      <c r="C82" s="22">
        <f>'Scenario and Data'!D149</f>
        <v>-49914.108378220262</v>
      </c>
      <c r="D82" s="19"/>
      <c r="E82" s="15">
        <f>-E77</f>
        <v>-100000</v>
      </c>
      <c r="H82" s="2"/>
    </row>
    <row r="83" spans="1:8" x14ac:dyDescent="0.25">
      <c r="A83" s="2" t="s">
        <v>16</v>
      </c>
      <c r="B83" s="19">
        <f>-'Scenario and Data'!C91</f>
        <v>50000</v>
      </c>
      <c r="C83" s="22"/>
      <c r="D83" s="19"/>
      <c r="E83" s="15"/>
      <c r="H83" s="2"/>
    </row>
    <row r="84" spans="1:8" x14ac:dyDescent="0.25">
      <c r="A84" s="2" t="s">
        <v>155</v>
      </c>
      <c r="B84" s="14">
        <f>'Scenario and Data'!C91</f>
        <v>-50000</v>
      </c>
      <c r="C84" s="18"/>
      <c r="D84" s="19">
        <f>-D76</f>
        <v>50000</v>
      </c>
      <c r="E84" s="25"/>
      <c r="H84" s="2"/>
    </row>
    <row r="85" spans="1:8" x14ac:dyDescent="0.25">
      <c r="B85" s="14"/>
      <c r="C85" s="13"/>
      <c r="D85" s="52"/>
      <c r="E85" s="15"/>
      <c r="H85" s="2"/>
    </row>
    <row r="86" spans="1:8" ht="14.95" thickBot="1" x14ac:dyDescent="0.3">
      <c r="A86" s="3" t="s">
        <v>159</v>
      </c>
      <c r="B86" s="16">
        <f>SUM(B81:B84)</f>
        <v>-12689.230168168615</v>
      </c>
      <c r="C86" s="17">
        <f>SUM(C81:C84)</f>
        <v>-49914.108378220262</v>
      </c>
      <c r="D86" s="45">
        <f>SUM(D81:D84)</f>
        <v>50000</v>
      </c>
      <c r="E86" s="17">
        <f>SUM(E81:E84)</f>
        <v>-100000</v>
      </c>
      <c r="F86" s="6"/>
      <c r="H86" s="2"/>
    </row>
    <row r="87" spans="1:8" ht="14.95" thickTop="1" x14ac:dyDescent="0.25">
      <c r="B87" s="12"/>
      <c r="C87" s="13"/>
      <c r="D87" s="52"/>
      <c r="E87" s="15"/>
      <c r="H87" s="2"/>
    </row>
    <row r="88" spans="1:8" x14ac:dyDescent="0.25">
      <c r="A88" s="2" t="s">
        <v>17</v>
      </c>
      <c r="B88" s="14">
        <f>B66+B81+B83</f>
        <v>-266473.83353154093</v>
      </c>
      <c r="C88" s="13"/>
      <c r="D88" s="52"/>
      <c r="E88" s="15"/>
      <c r="H88" s="2"/>
    </row>
    <row r="89" spans="1:8" x14ac:dyDescent="0.25">
      <c r="A89" s="2" t="s">
        <v>18</v>
      </c>
      <c r="B89" s="14"/>
      <c r="C89" s="18">
        <f>C67+C82</f>
        <v>299484.65026932163</v>
      </c>
      <c r="D89" s="52"/>
      <c r="E89" s="15"/>
      <c r="H89" s="2"/>
    </row>
    <row r="90" spans="1:8" x14ac:dyDescent="0.25">
      <c r="A90" s="2" t="s">
        <v>98</v>
      </c>
      <c r="B90" s="12"/>
      <c r="C90" s="15"/>
      <c r="D90" s="19"/>
      <c r="E90" s="15">
        <f>E68+E82</f>
        <v>2600000</v>
      </c>
      <c r="H90" s="2"/>
    </row>
    <row r="91" spans="1:8" x14ac:dyDescent="0.25">
      <c r="A91" s="2" t="s">
        <v>86</v>
      </c>
      <c r="B91" s="12"/>
      <c r="C91" s="15">
        <f>C69</f>
        <v>-75000</v>
      </c>
      <c r="D91" s="19"/>
      <c r="E91" s="15"/>
      <c r="H91" s="2"/>
    </row>
    <row r="92" spans="1:8" ht="14.95" thickBot="1" x14ac:dyDescent="0.3">
      <c r="A92" s="3" t="s">
        <v>15</v>
      </c>
      <c r="B92" s="23">
        <f>SUM(B88:B90)</f>
        <v>-266473.83353154093</v>
      </c>
      <c r="C92" s="24">
        <f>SUM(C88:C91)</f>
        <v>224484.65026932163</v>
      </c>
      <c r="D92" s="57">
        <f t="shared" ref="D92:E92" si="3">SUM(D88:D90)</f>
        <v>0</v>
      </c>
      <c r="E92" s="24">
        <f t="shared" si="3"/>
        <v>2600000</v>
      </c>
      <c r="F92" s="6"/>
      <c r="H92" s="2"/>
    </row>
    <row r="93" spans="1:8" x14ac:dyDescent="0.25">
      <c r="H93" s="2"/>
    </row>
    <row r="94" spans="1:8" ht="14.95" thickBot="1" x14ac:dyDescent="0.3">
      <c r="B94" s="314" t="s">
        <v>13</v>
      </c>
      <c r="C94" s="315"/>
      <c r="D94" s="55" t="s">
        <v>12</v>
      </c>
      <c r="E94" s="7"/>
      <c r="H94" s="2"/>
    </row>
    <row r="95" spans="1:8" ht="18.7" customHeight="1" thickBot="1" x14ac:dyDescent="0.3">
      <c r="A95" s="61" t="s">
        <v>182</v>
      </c>
      <c r="B95" s="58" t="s">
        <v>8</v>
      </c>
      <c r="C95" s="60" t="s">
        <v>69</v>
      </c>
      <c r="D95" s="58" t="s">
        <v>9</v>
      </c>
      <c r="E95" s="59" t="s">
        <v>14</v>
      </c>
      <c r="F95" s="5"/>
      <c r="H95" s="2"/>
    </row>
    <row r="96" spans="1:8" ht="16.3" x14ac:dyDescent="0.3">
      <c r="A96" s="163" t="s">
        <v>5</v>
      </c>
      <c r="B96" s="21"/>
      <c r="C96" s="51"/>
      <c r="D96" s="52"/>
      <c r="E96" s="25"/>
      <c r="H96" s="2"/>
    </row>
    <row r="97" spans="1:8" x14ac:dyDescent="0.25">
      <c r="A97" s="2" t="s">
        <v>152</v>
      </c>
      <c r="B97" s="19">
        <f>'Scenario and Data'!D92</f>
        <v>10823.691676577047</v>
      </c>
      <c r="C97" s="20"/>
      <c r="D97" s="19"/>
      <c r="E97" s="25"/>
      <c r="H97" s="2"/>
    </row>
    <row r="98" spans="1:8" x14ac:dyDescent="0.25">
      <c r="A98" s="2" t="s">
        <v>87</v>
      </c>
      <c r="B98" s="12"/>
      <c r="C98" s="13"/>
      <c r="D98" s="19">
        <f>'Scenario and Data'!C92</f>
        <v>-50000</v>
      </c>
      <c r="E98" s="25"/>
      <c r="H98" s="2"/>
    </row>
    <row r="99" spans="1:8" x14ac:dyDescent="0.25">
      <c r="A99" s="2" t="s">
        <v>4</v>
      </c>
      <c r="B99" s="12"/>
      <c r="C99" s="22">
        <f>-'Scenario and Data'!D150</f>
        <v>49914.108378220262</v>
      </c>
      <c r="D99" s="52"/>
      <c r="E99" s="15">
        <f>-'Scenario and Data'!C174</f>
        <v>100000</v>
      </c>
      <c r="H99" s="2"/>
    </row>
    <row r="100" spans="1:8" ht="14.95" thickBot="1" x14ac:dyDescent="0.3">
      <c r="A100" s="3" t="s">
        <v>7</v>
      </c>
      <c r="B100" s="16">
        <f>SUM(B97:B99)</f>
        <v>10823.691676577047</v>
      </c>
      <c r="C100" s="17">
        <f>SUM(C97:C99)</f>
        <v>49914.108378220262</v>
      </c>
      <c r="D100" s="45">
        <f>SUM(D97:D99)</f>
        <v>-50000</v>
      </c>
      <c r="E100" s="17">
        <f>SUM(E97:E99)</f>
        <v>100000</v>
      </c>
      <c r="F100" s="6"/>
    </row>
    <row r="101" spans="1:8" ht="15.65" thickTop="1" thickBot="1" x14ac:dyDescent="0.3">
      <c r="A101" s="3"/>
      <c r="B101" s="40"/>
      <c r="C101" s="40"/>
      <c r="D101" s="41"/>
      <c r="E101" s="40"/>
      <c r="F101" s="6"/>
    </row>
    <row r="102" spans="1:8" ht="16.3" x14ac:dyDescent="0.3">
      <c r="A102" s="163" t="s">
        <v>25</v>
      </c>
      <c r="B102" s="37"/>
      <c r="C102" s="38"/>
      <c r="D102" s="56"/>
      <c r="E102" s="39"/>
    </row>
    <row r="103" spans="1:8" x14ac:dyDescent="0.25">
      <c r="A103" s="2" t="s">
        <v>27</v>
      </c>
      <c r="B103" s="19">
        <f>-B97</f>
        <v>-10823.691676577047</v>
      </c>
      <c r="C103" s="20"/>
      <c r="D103" s="53"/>
      <c r="E103" s="15"/>
    </row>
    <row r="104" spans="1:8" x14ac:dyDescent="0.25">
      <c r="A104" s="2" t="s">
        <v>6</v>
      </c>
      <c r="B104" s="21"/>
      <c r="C104" s="22">
        <f>'Scenario and Data'!D150</f>
        <v>-49914.108378220262</v>
      </c>
      <c r="D104" s="19"/>
      <c r="E104" s="15">
        <f>-E99</f>
        <v>-100000</v>
      </c>
    </row>
    <row r="105" spans="1:8" x14ac:dyDescent="0.25">
      <c r="A105" s="2" t="s">
        <v>16</v>
      </c>
      <c r="B105" s="19">
        <f>-'Scenario and Data'!C92</f>
        <v>50000</v>
      </c>
      <c r="C105" s="22"/>
      <c r="D105" s="19"/>
      <c r="E105" s="15"/>
    </row>
    <row r="106" spans="1:8" x14ac:dyDescent="0.25">
      <c r="A106" s="2" t="s">
        <v>155</v>
      </c>
      <c r="B106" s="14">
        <f>'Scenario and Data'!C92</f>
        <v>-50000</v>
      </c>
      <c r="C106" s="18"/>
      <c r="D106" s="19">
        <f>-D98</f>
        <v>50000</v>
      </c>
      <c r="E106" s="25"/>
    </row>
    <row r="107" spans="1:8" x14ac:dyDescent="0.25">
      <c r="B107" s="14"/>
      <c r="C107" s="13"/>
      <c r="D107" s="52"/>
      <c r="E107" s="15"/>
    </row>
    <row r="108" spans="1:8" ht="14.95" thickBot="1" x14ac:dyDescent="0.3">
      <c r="A108" s="3" t="s">
        <v>159</v>
      </c>
      <c r="B108" s="16">
        <f>SUM(B103:B106)</f>
        <v>-10823.691676577044</v>
      </c>
      <c r="C108" s="17">
        <f>SUM(C103:C106)</f>
        <v>-49914.108378220262</v>
      </c>
      <c r="D108" s="45">
        <f>SUM(D103:D106)</f>
        <v>50000</v>
      </c>
      <c r="E108" s="17">
        <f>SUM(E103:E106)</f>
        <v>-100000</v>
      </c>
      <c r="F108" s="6"/>
    </row>
    <row r="109" spans="1:8" ht="14.95" thickTop="1" x14ac:dyDescent="0.25">
      <c r="B109" s="12"/>
      <c r="C109" s="13"/>
      <c r="D109" s="52"/>
      <c r="E109" s="15"/>
    </row>
    <row r="110" spans="1:8" x14ac:dyDescent="0.25">
      <c r="A110" s="2" t="s">
        <v>17</v>
      </c>
      <c r="B110" s="14">
        <f>B88+B103+B105</f>
        <v>-227297.52520811796</v>
      </c>
      <c r="C110" s="13"/>
      <c r="D110" s="52"/>
      <c r="E110" s="15"/>
    </row>
    <row r="111" spans="1:8" x14ac:dyDescent="0.25">
      <c r="A111" s="2" t="s">
        <v>18</v>
      </c>
      <c r="B111" s="14"/>
      <c r="C111" s="18">
        <f>C89+C104</f>
        <v>249570.54189110137</v>
      </c>
      <c r="D111" s="52"/>
      <c r="E111" s="15"/>
    </row>
    <row r="112" spans="1:8" x14ac:dyDescent="0.25">
      <c r="A112" s="2" t="s">
        <v>98</v>
      </c>
      <c r="B112" s="12"/>
      <c r="C112" s="15"/>
      <c r="D112" s="19"/>
      <c r="E112" s="15">
        <f>E90+E104</f>
        <v>2500000</v>
      </c>
    </row>
    <row r="113" spans="1:6" x14ac:dyDescent="0.25">
      <c r="A113" s="2" t="s">
        <v>86</v>
      </c>
      <c r="B113" s="12"/>
      <c r="C113" s="15">
        <f>C91</f>
        <v>-75000</v>
      </c>
      <c r="D113" s="19"/>
      <c r="E113" s="15"/>
    </row>
    <row r="114" spans="1:6" ht="14.95" thickBot="1" x14ac:dyDescent="0.3">
      <c r="A114" s="3" t="s">
        <v>15</v>
      </c>
      <c r="B114" s="23">
        <f>SUM(B110:B112)</f>
        <v>-227297.52520811796</v>
      </c>
      <c r="C114" s="24">
        <f>SUM(C110:C113)</f>
        <v>174570.54189110137</v>
      </c>
      <c r="D114" s="57">
        <f t="shared" ref="D114:E114" si="4">SUM(D110:D112)</f>
        <v>0</v>
      </c>
      <c r="E114" s="24">
        <f t="shared" si="4"/>
        <v>2500000</v>
      </c>
      <c r="F114" s="6"/>
    </row>
    <row r="116" spans="1:6" ht="14.95" thickBot="1" x14ac:dyDescent="0.3">
      <c r="B116" s="314" t="s">
        <v>13</v>
      </c>
      <c r="C116" s="315"/>
      <c r="D116" s="55" t="s">
        <v>12</v>
      </c>
      <c r="E116" s="7"/>
    </row>
    <row r="117" spans="1:6" ht="19.2" customHeight="1" thickBot="1" x14ac:dyDescent="0.3">
      <c r="A117" s="61" t="s">
        <v>183</v>
      </c>
      <c r="B117" s="58" t="s">
        <v>8</v>
      </c>
      <c r="C117" s="60" t="s">
        <v>69</v>
      </c>
      <c r="D117" s="58" t="s">
        <v>9</v>
      </c>
      <c r="E117" s="59" t="s">
        <v>14</v>
      </c>
      <c r="F117" s="5"/>
    </row>
    <row r="118" spans="1:6" ht="16.3" x14ac:dyDescent="0.3">
      <c r="A118" s="163" t="s">
        <v>5</v>
      </c>
      <c r="B118" s="21"/>
      <c r="C118" s="51"/>
      <c r="D118" s="52"/>
      <c r="E118" s="25"/>
    </row>
    <row r="119" spans="1:6" x14ac:dyDescent="0.25">
      <c r="A119" s="2" t="s">
        <v>152</v>
      </c>
      <c r="B119" s="19">
        <f>'Scenario and Data'!D93</f>
        <v>8864.8762604058993</v>
      </c>
      <c r="C119" s="20"/>
      <c r="D119" s="19"/>
      <c r="E119" s="25"/>
    </row>
    <row r="120" spans="1:6" x14ac:dyDescent="0.25">
      <c r="A120" s="2" t="s">
        <v>87</v>
      </c>
      <c r="B120" s="12"/>
      <c r="C120" s="13"/>
      <c r="D120" s="19">
        <f>'Scenario and Data'!C93</f>
        <v>-50000</v>
      </c>
      <c r="E120" s="25"/>
    </row>
    <row r="121" spans="1:6" x14ac:dyDescent="0.25">
      <c r="A121" s="2" t="s">
        <v>4</v>
      </c>
      <c r="B121" s="12"/>
      <c r="C121" s="22">
        <f>-'Scenario and Data'!D151</f>
        <v>49914.108378220262</v>
      </c>
      <c r="D121" s="52"/>
      <c r="E121" s="15">
        <f>-'Scenario and Data'!C175</f>
        <v>100000</v>
      </c>
    </row>
    <row r="122" spans="1:6" ht="14.95" thickBot="1" x14ac:dyDescent="0.3">
      <c r="A122" s="3" t="s">
        <v>7</v>
      </c>
      <c r="B122" s="16">
        <f>SUM(B119:B121)</f>
        <v>8864.8762604058993</v>
      </c>
      <c r="C122" s="17">
        <f>SUM(C119:C121)</f>
        <v>49914.108378220262</v>
      </c>
      <c r="D122" s="45">
        <f>SUM(D119:D121)</f>
        <v>-50000</v>
      </c>
      <c r="E122" s="17">
        <f>SUM(E119:E121)</f>
        <v>100000</v>
      </c>
      <c r="F122" s="6"/>
    </row>
    <row r="123" spans="1:6" ht="15.65" thickTop="1" thickBot="1" x14ac:dyDescent="0.3">
      <c r="A123" s="3"/>
      <c r="B123" s="40"/>
      <c r="C123" s="40"/>
      <c r="D123" s="41"/>
      <c r="E123" s="40"/>
      <c r="F123" s="6"/>
    </row>
    <row r="124" spans="1:6" ht="16.3" x14ac:dyDescent="0.3">
      <c r="A124" s="163" t="s">
        <v>25</v>
      </c>
      <c r="B124" s="37"/>
      <c r="C124" s="38"/>
      <c r="D124" s="56"/>
      <c r="E124" s="39"/>
    </row>
    <row r="125" spans="1:6" x14ac:dyDescent="0.25">
      <c r="A125" s="2" t="s">
        <v>27</v>
      </c>
      <c r="B125" s="19">
        <f>-B119</f>
        <v>-8864.8762604058993</v>
      </c>
      <c r="C125" s="20"/>
      <c r="D125" s="53"/>
      <c r="E125" s="15"/>
    </row>
    <row r="126" spans="1:6" x14ac:dyDescent="0.25">
      <c r="A126" s="2" t="s">
        <v>6</v>
      </c>
      <c r="B126" s="21"/>
      <c r="C126" s="22">
        <f>-C121</f>
        <v>-49914.108378220262</v>
      </c>
      <c r="D126" s="19"/>
      <c r="E126" s="15">
        <f>-E121</f>
        <v>-100000</v>
      </c>
    </row>
    <row r="127" spans="1:6" x14ac:dyDescent="0.25">
      <c r="A127" s="2" t="s">
        <v>16</v>
      </c>
      <c r="B127" s="19">
        <f>-'Scenario and Data'!C93</f>
        <v>50000</v>
      </c>
      <c r="C127" s="22"/>
      <c r="D127" s="19"/>
      <c r="E127" s="15"/>
    </row>
    <row r="128" spans="1:6" x14ac:dyDescent="0.25">
      <c r="A128" s="2" t="s">
        <v>155</v>
      </c>
      <c r="B128" s="14">
        <f>'Scenario and Data'!C93</f>
        <v>-50000</v>
      </c>
      <c r="C128" s="18"/>
      <c r="D128" s="19">
        <f>-D120</f>
        <v>50000</v>
      </c>
      <c r="E128" s="25"/>
    </row>
    <row r="129" spans="1:6" x14ac:dyDescent="0.25">
      <c r="B129" s="14"/>
      <c r="C129" s="13"/>
      <c r="D129" s="52"/>
      <c r="E129" s="15"/>
    </row>
    <row r="130" spans="1:6" ht="14.95" thickBot="1" x14ac:dyDescent="0.3">
      <c r="A130" s="3" t="s">
        <v>159</v>
      </c>
      <c r="B130" s="16">
        <f>SUM(B125:B128)</f>
        <v>-8864.8762604059011</v>
      </c>
      <c r="C130" s="17">
        <f>SUM(C125:C128)</f>
        <v>-49914.108378220262</v>
      </c>
      <c r="D130" s="45">
        <f>SUM(D125:D128)</f>
        <v>50000</v>
      </c>
      <c r="E130" s="17">
        <f>SUM(E125:E128)</f>
        <v>-100000</v>
      </c>
      <c r="F130" s="6"/>
    </row>
    <row r="131" spans="1:6" ht="14.95" thickTop="1" x14ac:dyDescent="0.25">
      <c r="B131" s="12"/>
      <c r="C131" s="13"/>
      <c r="D131" s="52"/>
      <c r="E131" s="15"/>
    </row>
    <row r="132" spans="1:6" x14ac:dyDescent="0.25">
      <c r="A132" s="2" t="s">
        <v>17</v>
      </c>
      <c r="B132" s="14">
        <f>B110+B125+B127</f>
        <v>-186162.40146852387</v>
      </c>
      <c r="C132" s="13"/>
      <c r="D132" s="52"/>
      <c r="E132" s="15"/>
    </row>
    <row r="133" spans="1:6" x14ac:dyDescent="0.25">
      <c r="A133" s="2" t="s">
        <v>18</v>
      </c>
      <c r="B133" s="14"/>
      <c r="C133" s="18">
        <f>C111+C126</f>
        <v>199656.43351288111</v>
      </c>
      <c r="D133" s="52"/>
      <c r="E133" s="15"/>
    </row>
    <row r="134" spans="1:6" x14ac:dyDescent="0.25">
      <c r="A134" s="2" t="s">
        <v>98</v>
      </c>
      <c r="B134" s="12"/>
      <c r="C134" s="15"/>
      <c r="D134" s="19"/>
      <c r="E134" s="15">
        <f>E112+E126</f>
        <v>2400000</v>
      </c>
    </row>
    <row r="135" spans="1:6" x14ac:dyDescent="0.25">
      <c r="A135" s="2" t="s">
        <v>86</v>
      </c>
      <c r="B135" s="12"/>
      <c r="C135" s="15">
        <f>C113</f>
        <v>-75000</v>
      </c>
      <c r="D135" s="19"/>
      <c r="E135" s="15"/>
    </row>
    <row r="136" spans="1:6" ht="14.95" thickBot="1" x14ac:dyDescent="0.3">
      <c r="A136" s="3" t="s">
        <v>15</v>
      </c>
      <c r="B136" s="23">
        <f>SUM(B132:B134)</f>
        <v>-186162.40146852387</v>
      </c>
      <c r="C136" s="24">
        <f>SUM(C132:C135)</f>
        <v>124656.43351288111</v>
      </c>
      <c r="D136" s="57">
        <f t="shared" ref="D136:E136" si="5">SUM(D132:D134)</f>
        <v>0</v>
      </c>
      <c r="E136" s="24">
        <f t="shared" si="5"/>
        <v>2400000</v>
      </c>
      <c r="F136" s="6"/>
    </row>
    <row r="138" spans="1:6" ht="14.95" thickBot="1" x14ac:dyDescent="0.3">
      <c r="B138" s="314" t="s">
        <v>13</v>
      </c>
      <c r="C138" s="315"/>
      <c r="D138" s="55" t="s">
        <v>12</v>
      </c>
      <c r="E138" s="7"/>
    </row>
    <row r="139" spans="1:6" ht="17" customHeight="1" thickBot="1" x14ac:dyDescent="0.3">
      <c r="A139" s="61" t="s">
        <v>184</v>
      </c>
      <c r="B139" s="58" t="s">
        <v>8</v>
      </c>
      <c r="C139" s="60" t="s">
        <v>69</v>
      </c>
      <c r="D139" s="58" t="s">
        <v>9</v>
      </c>
      <c r="E139" s="59" t="s">
        <v>14</v>
      </c>
      <c r="F139" s="5"/>
    </row>
    <row r="140" spans="1:6" ht="16.3" x14ac:dyDescent="0.3">
      <c r="A140" s="163" t="s">
        <v>5</v>
      </c>
      <c r="B140" s="21"/>
      <c r="C140" s="51"/>
      <c r="D140" s="52"/>
      <c r="E140" s="25"/>
    </row>
    <row r="141" spans="1:6" x14ac:dyDescent="0.25">
      <c r="A141" s="2" t="s">
        <v>152</v>
      </c>
      <c r="B141" s="19">
        <f>'Scenario and Data'!D94</f>
        <v>6808.1200734261938</v>
      </c>
      <c r="C141" s="20"/>
      <c r="D141" s="19"/>
      <c r="E141" s="25"/>
    </row>
    <row r="142" spans="1:6" x14ac:dyDescent="0.25">
      <c r="A142" s="2" t="s">
        <v>87</v>
      </c>
      <c r="B142" s="12"/>
      <c r="C142" s="13"/>
      <c r="D142" s="19">
        <f>'Scenario and Data'!C94</f>
        <v>-50000</v>
      </c>
      <c r="E142" s="25"/>
    </row>
    <row r="143" spans="1:6" x14ac:dyDescent="0.25">
      <c r="A143" s="2" t="s">
        <v>4</v>
      </c>
      <c r="B143" s="12"/>
      <c r="C143" s="22">
        <f>-'Scenario and Data'!D152</f>
        <v>49914.108378220262</v>
      </c>
      <c r="D143" s="52"/>
      <c r="E143" s="15">
        <f>-'Scenario and Data'!C176</f>
        <v>100000</v>
      </c>
    </row>
    <row r="144" spans="1:6" ht="14.95" thickBot="1" x14ac:dyDescent="0.3">
      <c r="A144" s="3" t="s">
        <v>7</v>
      </c>
      <c r="B144" s="16">
        <f>SUM(B141:B143)</f>
        <v>6808.1200734261938</v>
      </c>
      <c r="C144" s="17">
        <f>SUM(C141:C143)</f>
        <v>49914.108378220262</v>
      </c>
      <c r="D144" s="45">
        <f>SUM(D141:D143)</f>
        <v>-50000</v>
      </c>
      <c r="E144" s="17">
        <f>SUM(E141:E143)</f>
        <v>100000</v>
      </c>
      <c r="F144" s="6"/>
    </row>
    <row r="145" spans="1:6" ht="15.65" thickTop="1" thickBot="1" x14ac:dyDescent="0.3">
      <c r="A145" s="3"/>
      <c r="B145" s="40"/>
      <c r="C145" s="40"/>
      <c r="D145" s="41"/>
      <c r="E145" s="40"/>
      <c r="F145" s="6"/>
    </row>
    <row r="146" spans="1:6" ht="16.3" x14ac:dyDescent="0.3">
      <c r="A146" s="163" t="s">
        <v>25</v>
      </c>
      <c r="B146" s="37"/>
      <c r="C146" s="38"/>
      <c r="D146" s="56"/>
      <c r="E146" s="39"/>
    </row>
    <row r="147" spans="1:6" x14ac:dyDescent="0.25">
      <c r="A147" s="2" t="s">
        <v>27</v>
      </c>
      <c r="B147" s="19">
        <f>-B141</f>
        <v>-6808.1200734261938</v>
      </c>
      <c r="C147" s="20"/>
      <c r="D147" s="53"/>
      <c r="E147" s="15"/>
    </row>
    <row r="148" spans="1:6" x14ac:dyDescent="0.25">
      <c r="A148" s="2" t="s">
        <v>6</v>
      </c>
      <c r="B148" s="21"/>
      <c r="C148" s="22">
        <f>'Scenario and Data'!D152</f>
        <v>-49914.108378220262</v>
      </c>
      <c r="D148" s="19"/>
      <c r="E148" s="15">
        <f>-E143</f>
        <v>-100000</v>
      </c>
    </row>
    <row r="149" spans="1:6" x14ac:dyDescent="0.25">
      <c r="A149" s="2" t="s">
        <v>16</v>
      </c>
      <c r="B149" s="19">
        <f>-'Scenario and Data'!C94</f>
        <v>50000</v>
      </c>
      <c r="C149" s="22"/>
      <c r="D149" s="19"/>
      <c r="E149" s="15"/>
    </row>
    <row r="150" spans="1:6" x14ac:dyDescent="0.25">
      <c r="A150" s="2" t="s">
        <v>155</v>
      </c>
      <c r="B150" s="14">
        <f>'Scenario and Data'!C94</f>
        <v>-50000</v>
      </c>
      <c r="C150" s="18"/>
      <c r="D150" s="19">
        <f>-D142</f>
        <v>50000</v>
      </c>
      <c r="E150" s="25"/>
    </row>
    <row r="151" spans="1:6" x14ac:dyDescent="0.25">
      <c r="B151" s="14"/>
      <c r="C151" s="13"/>
      <c r="D151" s="52"/>
      <c r="E151" s="15"/>
    </row>
    <row r="152" spans="1:6" ht="14.95" thickBot="1" x14ac:dyDescent="0.3">
      <c r="A152" s="3" t="s">
        <v>159</v>
      </c>
      <c r="B152" s="16">
        <f>SUM(B147:B150)</f>
        <v>-6808.1200734261947</v>
      </c>
      <c r="C152" s="17">
        <f>SUM(C147:C150)</f>
        <v>-49914.108378220262</v>
      </c>
      <c r="D152" s="45">
        <f>SUM(D147:D150)</f>
        <v>50000</v>
      </c>
      <c r="E152" s="17">
        <f>SUM(E147:E150)</f>
        <v>-100000</v>
      </c>
      <c r="F152" s="6"/>
    </row>
    <row r="153" spans="1:6" ht="14.95" thickTop="1" x14ac:dyDescent="0.25">
      <c r="B153" s="12"/>
      <c r="C153" s="13"/>
      <c r="D153" s="52"/>
      <c r="E153" s="15"/>
    </row>
    <row r="154" spans="1:6" x14ac:dyDescent="0.25">
      <c r="A154" s="2" t="s">
        <v>17</v>
      </c>
      <c r="B154" s="14">
        <f>B132+B147+B149</f>
        <v>-142970.52154195006</v>
      </c>
      <c r="C154" s="13"/>
      <c r="D154" s="52"/>
      <c r="E154" s="15"/>
    </row>
    <row r="155" spans="1:6" x14ac:dyDescent="0.25">
      <c r="A155" s="2" t="s">
        <v>18</v>
      </c>
      <c r="B155" s="14"/>
      <c r="C155" s="18">
        <f>C133+C148</f>
        <v>149742.32513466084</v>
      </c>
      <c r="D155" s="52"/>
      <c r="E155" s="15"/>
    </row>
    <row r="156" spans="1:6" x14ac:dyDescent="0.25">
      <c r="A156" s="2" t="s">
        <v>98</v>
      </c>
      <c r="B156" s="12"/>
      <c r="C156" s="15"/>
      <c r="D156" s="19"/>
      <c r="E156" s="15">
        <f>E134+E148</f>
        <v>2300000</v>
      </c>
    </row>
    <row r="157" spans="1:6" x14ac:dyDescent="0.25">
      <c r="A157" s="2" t="s">
        <v>86</v>
      </c>
      <c r="B157" s="12"/>
      <c r="C157" s="15">
        <f>C135</f>
        <v>-75000</v>
      </c>
      <c r="D157" s="19"/>
      <c r="E157" s="15"/>
    </row>
    <row r="158" spans="1:6" ht="14.95" thickBot="1" x14ac:dyDescent="0.3">
      <c r="A158" s="3" t="s">
        <v>15</v>
      </c>
      <c r="B158" s="23">
        <f>SUM(B154:B156)</f>
        <v>-142970.52154195006</v>
      </c>
      <c r="C158" s="24">
        <f>SUM(C154:C157)</f>
        <v>74742.325134660845</v>
      </c>
      <c r="D158" s="57">
        <f t="shared" ref="D158:E158" si="6">SUM(D154:D156)</f>
        <v>0</v>
      </c>
      <c r="E158" s="24">
        <f t="shared" si="6"/>
        <v>2300000</v>
      </c>
      <c r="F158" s="6"/>
    </row>
    <row r="160" spans="1:6" ht="14.95" thickBot="1" x14ac:dyDescent="0.3">
      <c r="B160" s="314" t="s">
        <v>13</v>
      </c>
      <c r="C160" s="315"/>
      <c r="D160" s="55" t="s">
        <v>12</v>
      </c>
      <c r="E160" s="7"/>
    </row>
    <row r="161" spans="1:6" ht="14.95" thickBot="1" x14ac:dyDescent="0.3">
      <c r="A161" s="61" t="s">
        <v>185</v>
      </c>
      <c r="B161" s="58" t="s">
        <v>8</v>
      </c>
      <c r="C161" s="60" t="s">
        <v>69</v>
      </c>
      <c r="D161" s="58" t="s">
        <v>9</v>
      </c>
      <c r="E161" s="59" t="s">
        <v>14</v>
      </c>
      <c r="F161" s="5"/>
    </row>
    <row r="162" spans="1:6" ht="16.3" x14ac:dyDescent="0.3">
      <c r="A162" s="163" t="s">
        <v>5</v>
      </c>
      <c r="B162" s="21"/>
      <c r="C162" s="51"/>
      <c r="D162" s="52"/>
      <c r="E162" s="25"/>
    </row>
    <row r="163" spans="1:6" x14ac:dyDescent="0.25">
      <c r="A163" s="2" t="s">
        <v>152</v>
      </c>
      <c r="B163" s="19">
        <f>'Scenario and Data'!D95</f>
        <v>4648.5260770975028</v>
      </c>
      <c r="C163" s="20"/>
      <c r="D163" s="19"/>
      <c r="E163" s="25"/>
    </row>
    <row r="164" spans="1:6" x14ac:dyDescent="0.25">
      <c r="A164" s="2" t="s">
        <v>87</v>
      </c>
      <c r="B164" s="12"/>
      <c r="C164" s="13"/>
      <c r="D164" s="19">
        <f>'Scenario and Data'!C95</f>
        <v>-50000</v>
      </c>
      <c r="E164" s="25"/>
    </row>
    <row r="165" spans="1:6" x14ac:dyDescent="0.25">
      <c r="A165" s="2" t="s">
        <v>4</v>
      </c>
      <c r="B165" s="12"/>
      <c r="C165" s="22">
        <f>-'Scenario and Data'!D153</f>
        <v>49914.108378220262</v>
      </c>
      <c r="D165" s="52"/>
      <c r="E165" s="15">
        <f>-'Scenario and Data'!C177</f>
        <v>100000</v>
      </c>
    </row>
    <row r="166" spans="1:6" ht="14.95" thickBot="1" x14ac:dyDescent="0.3">
      <c r="A166" s="3" t="s">
        <v>7</v>
      </c>
      <c r="B166" s="16">
        <f>SUM(B163:B165)</f>
        <v>4648.5260770975028</v>
      </c>
      <c r="C166" s="17">
        <f>SUM(C163:C165)</f>
        <v>49914.108378220262</v>
      </c>
      <c r="D166" s="45">
        <f>SUM(D163:D165)</f>
        <v>-50000</v>
      </c>
      <c r="E166" s="17">
        <f>SUM(E163:E165)</f>
        <v>100000</v>
      </c>
      <c r="F166" s="6"/>
    </row>
    <row r="167" spans="1:6" ht="15.65" thickTop="1" thickBot="1" x14ac:dyDescent="0.3">
      <c r="A167" s="3"/>
      <c r="B167" s="40"/>
      <c r="C167" s="40"/>
      <c r="D167" s="41"/>
      <c r="E167" s="40"/>
      <c r="F167" s="6"/>
    </row>
    <row r="168" spans="1:6" ht="16.3" x14ac:dyDescent="0.3">
      <c r="A168" s="163" t="s">
        <v>25</v>
      </c>
      <c r="B168" s="37"/>
      <c r="C168" s="38"/>
      <c r="D168" s="56"/>
      <c r="E168" s="39"/>
    </row>
    <row r="169" spans="1:6" x14ac:dyDescent="0.25">
      <c r="A169" s="2" t="s">
        <v>27</v>
      </c>
      <c r="B169" s="19">
        <f>-B163</f>
        <v>-4648.5260770975028</v>
      </c>
      <c r="C169" s="20"/>
      <c r="D169" s="53"/>
      <c r="E169" s="15"/>
    </row>
    <row r="170" spans="1:6" x14ac:dyDescent="0.25">
      <c r="A170" s="2" t="s">
        <v>6</v>
      </c>
      <c r="B170" s="21"/>
      <c r="C170" s="22">
        <f>'Scenario and Data'!D153</f>
        <v>-49914.108378220262</v>
      </c>
      <c r="D170" s="19"/>
      <c r="E170" s="15">
        <f>-E165</f>
        <v>-100000</v>
      </c>
    </row>
    <row r="171" spans="1:6" x14ac:dyDescent="0.25">
      <c r="A171" s="2" t="s">
        <v>16</v>
      </c>
      <c r="B171" s="19">
        <f>-'Scenario and Data'!C95</f>
        <v>50000</v>
      </c>
      <c r="C171" s="22"/>
      <c r="D171" s="19"/>
      <c r="E171" s="15"/>
    </row>
    <row r="172" spans="1:6" x14ac:dyDescent="0.25">
      <c r="A172" s="2" t="s">
        <v>155</v>
      </c>
      <c r="B172" s="14">
        <f>'Scenario and Data'!C95</f>
        <v>-50000</v>
      </c>
      <c r="C172" s="18"/>
      <c r="D172" s="19">
        <f>-D164</f>
        <v>50000</v>
      </c>
      <c r="E172" s="25"/>
    </row>
    <row r="173" spans="1:6" x14ac:dyDescent="0.25">
      <c r="B173" s="14"/>
      <c r="C173" s="13"/>
      <c r="D173" s="52"/>
      <c r="E173" s="15"/>
    </row>
    <row r="174" spans="1:6" ht="14.95" thickBot="1" x14ac:dyDescent="0.3">
      <c r="A174" s="3" t="s">
        <v>159</v>
      </c>
      <c r="B174" s="16">
        <f>SUM(B169:B172)</f>
        <v>-4648.5260770975001</v>
      </c>
      <c r="C174" s="17">
        <f>SUM(C169:C172)</f>
        <v>-49914.108378220262</v>
      </c>
      <c r="D174" s="45">
        <f>SUM(D169:D172)</f>
        <v>50000</v>
      </c>
      <c r="E174" s="17">
        <f>SUM(E169:E172)</f>
        <v>-100000</v>
      </c>
      <c r="F174" s="6"/>
    </row>
    <row r="175" spans="1:6" ht="14.95" thickTop="1" x14ac:dyDescent="0.25">
      <c r="B175" s="12"/>
      <c r="C175" s="13"/>
      <c r="D175" s="52"/>
      <c r="E175" s="15"/>
    </row>
    <row r="176" spans="1:6" x14ac:dyDescent="0.25">
      <c r="A176" s="2" t="s">
        <v>17</v>
      </c>
      <c r="B176" s="14">
        <f>B154+B169+B171</f>
        <v>-97619.047619047575</v>
      </c>
      <c r="C176" s="13"/>
      <c r="D176" s="52"/>
      <c r="E176" s="15"/>
    </row>
    <row r="177" spans="1:6" x14ac:dyDescent="0.25">
      <c r="A177" s="2" t="s">
        <v>18</v>
      </c>
      <c r="B177" s="14"/>
      <c r="C177" s="18">
        <f>C155+C170</f>
        <v>99828.216756440583</v>
      </c>
      <c r="D177" s="52"/>
      <c r="E177" s="15"/>
    </row>
    <row r="178" spans="1:6" x14ac:dyDescent="0.25">
      <c r="A178" s="2" t="s">
        <v>98</v>
      </c>
      <c r="B178" s="12"/>
      <c r="C178" s="15"/>
      <c r="D178" s="19"/>
      <c r="E178" s="15">
        <f>E156+E170</f>
        <v>2200000</v>
      </c>
    </row>
    <row r="179" spans="1:6" x14ac:dyDescent="0.25">
      <c r="A179" s="2" t="s">
        <v>86</v>
      </c>
      <c r="B179" s="12"/>
      <c r="C179" s="15">
        <f>C157</f>
        <v>-75000</v>
      </c>
      <c r="D179" s="19"/>
      <c r="E179" s="15"/>
    </row>
    <row r="180" spans="1:6" ht="14.95" thickBot="1" x14ac:dyDescent="0.3">
      <c r="A180" s="3" t="s">
        <v>15</v>
      </c>
      <c r="B180" s="23">
        <f>SUM(B176:B178)</f>
        <v>-97619.047619047575</v>
      </c>
      <c r="C180" s="24">
        <f>SUM(C176:C179)</f>
        <v>24828.216756440583</v>
      </c>
      <c r="D180" s="57">
        <f t="shared" ref="D180:E180" si="7">SUM(D176:D178)</f>
        <v>0</v>
      </c>
      <c r="E180" s="24">
        <f t="shared" si="7"/>
        <v>2200000</v>
      </c>
      <c r="F180" s="6"/>
    </row>
    <row r="182" spans="1:6" ht="14.95" thickBot="1" x14ac:dyDescent="0.3">
      <c r="B182" s="314" t="s">
        <v>13</v>
      </c>
      <c r="C182" s="315"/>
      <c r="D182" s="55" t="s">
        <v>12</v>
      </c>
      <c r="E182" s="7"/>
    </row>
    <row r="183" spans="1:6" ht="14.95" thickBot="1" x14ac:dyDescent="0.3">
      <c r="A183" s="61" t="s">
        <v>186</v>
      </c>
      <c r="B183" s="58" t="s">
        <v>8</v>
      </c>
      <c r="C183" s="60" t="s">
        <v>69</v>
      </c>
      <c r="D183" s="58" t="s">
        <v>9</v>
      </c>
      <c r="E183" s="59" t="s">
        <v>14</v>
      </c>
      <c r="F183" s="5"/>
    </row>
    <row r="184" spans="1:6" ht="16.3" x14ac:dyDescent="0.3">
      <c r="A184" s="163" t="s">
        <v>5</v>
      </c>
      <c r="B184" s="21"/>
      <c r="C184" s="51"/>
      <c r="D184" s="52"/>
      <c r="E184" s="25"/>
    </row>
    <row r="185" spans="1:6" x14ac:dyDescent="0.25">
      <c r="A185" s="2" t="s">
        <v>152</v>
      </c>
      <c r="B185" s="19">
        <f>'Scenario and Data'!D96</f>
        <v>2380.9523809523789</v>
      </c>
      <c r="C185" s="20"/>
      <c r="D185" s="19"/>
      <c r="E185" s="25"/>
    </row>
    <row r="186" spans="1:6" x14ac:dyDescent="0.25">
      <c r="A186" s="2" t="s">
        <v>87</v>
      </c>
      <c r="B186" s="12"/>
      <c r="C186" s="13"/>
      <c r="D186" s="19">
        <f>'Scenario and Data'!C96</f>
        <v>-50000</v>
      </c>
      <c r="E186" s="25"/>
    </row>
    <row r="187" spans="1:6" x14ac:dyDescent="0.25">
      <c r="A187" s="2" t="s">
        <v>4</v>
      </c>
      <c r="B187" s="12"/>
      <c r="C187" s="22">
        <f>-'Scenario and Data'!D154</f>
        <v>49914.108378220262</v>
      </c>
      <c r="D187" s="52"/>
      <c r="E187" s="15">
        <f>-'Scenario and Data'!C178</f>
        <v>100000</v>
      </c>
    </row>
    <row r="188" spans="1:6" ht="14.95" thickBot="1" x14ac:dyDescent="0.3">
      <c r="A188" s="3" t="s">
        <v>7</v>
      </c>
      <c r="B188" s="16">
        <f>SUM(B185:B187)</f>
        <v>2380.9523809523789</v>
      </c>
      <c r="C188" s="17">
        <f>SUM(C185:C187)</f>
        <v>49914.108378220262</v>
      </c>
      <c r="D188" s="45">
        <f>SUM(D185:D187)</f>
        <v>-50000</v>
      </c>
      <c r="E188" s="17">
        <f>SUM(E185:E187)</f>
        <v>100000</v>
      </c>
      <c r="F188" s="6"/>
    </row>
    <row r="189" spans="1:6" ht="15.65" thickTop="1" thickBot="1" x14ac:dyDescent="0.3">
      <c r="A189" s="3"/>
      <c r="B189" s="40"/>
      <c r="C189" s="40"/>
      <c r="D189" s="41"/>
      <c r="E189" s="40"/>
      <c r="F189" s="6"/>
    </row>
    <row r="190" spans="1:6" ht="16.3" x14ac:dyDescent="0.3">
      <c r="A190" s="163" t="s">
        <v>25</v>
      </c>
      <c r="B190" s="37"/>
      <c r="C190" s="38"/>
      <c r="D190" s="56"/>
      <c r="E190" s="39"/>
    </row>
    <row r="191" spans="1:6" x14ac:dyDescent="0.25">
      <c r="A191" s="2" t="s">
        <v>27</v>
      </c>
      <c r="B191" s="19">
        <f>-B185</f>
        <v>-2380.9523809523789</v>
      </c>
      <c r="C191" s="20"/>
      <c r="D191" s="53"/>
      <c r="E191" s="15"/>
    </row>
    <row r="192" spans="1:6" x14ac:dyDescent="0.25">
      <c r="A192" s="2" t="s">
        <v>6</v>
      </c>
      <c r="B192" s="21"/>
      <c r="C192" s="22">
        <f>'Scenario and Data'!D154</f>
        <v>-49914.108378220262</v>
      </c>
      <c r="D192" s="19"/>
      <c r="E192" s="15">
        <f>-E187</f>
        <v>-100000</v>
      </c>
    </row>
    <row r="193" spans="1:6" x14ac:dyDescent="0.25">
      <c r="A193" s="2" t="s">
        <v>16</v>
      </c>
      <c r="B193" s="19">
        <f>-'Scenario and Data'!C96</f>
        <v>50000</v>
      </c>
      <c r="C193" s="22"/>
      <c r="D193" s="19"/>
      <c r="E193" s="15"/>
    </row>
    <row r="194" spans="1:6" x14ac:dyDescent="0.25">
      <c r="A194" s="2" t="s">
        <v>155</v>
      </c>
      <c r="B194" s="14">
        <f>'Scenario and Data'!C96</f>
        <v>-50000</v>
      </c>
      <c r="C194" s="18"/>
      <c r="D194" s="19">
        <f>-D186</f>
        <v>50000</v>
      </c>
      <c r="E194" s="25"/>
    </row>
    <row r="195" spans="1:6" x14ac:dyDescent="0.25">
      <c r="B195" s="14"/>
      <c r="C195" s="13"/>
      <c r="D195" s="52"/>
      <c r="E195" s="15"/>
    </row>
    <row r="196" spans="1:6" ht="14.95" thickBot="1" x14ac:dyDescent="0.3">
      <c r="A196" s="3" t="s">
        <v>159</v>
      </c>
      <c r="B196" s="16">
        <f>SUM(B191:B194)</f>
        <v>-2380.9523809523816</v>
      </c>
      <c r="C196" s="17">
        <f>SUM(C191:C194)</f>
        <v>-49914.108378220262</v>
      </c>
      <c r="D196" s="45">
        <f>SUM(D191:D194)</f>
        <v>50000</v>
      </c>
      <c r="E196" s="17">
        <f>SUM(E191:E194)</f>
        <v>-100000</v>
      </c>
      <c r="F196" s="6"/>
    </row>
    <row r="197" spans="1:6" ht="14.95" thickTop="1" x14ac:dyDescent="0.25">
      <c r="B197" s="12"/>
      <c r="C197" s="13"/>
      <c r="D197" s="52"/>
      <c r="E197" s="15"/>
    </row>
    <row r="198" spans="1:6" x14ac:dyDescent="0.25">
      <c r="A198" s="2" t="s">
        <v>17</v>
      </c>
      <c r="B198" s="14">
        <f>B176+B191+B193</f>
        <v>-49999.999999999956</v>
      </c>
      <c r="C198" s="13"/>
      <c r="D198" s="52"/>
      <c r="E198" s="15"/>
    </row>
    <row r="199" spans="1:6" x14ac:dyDescent="0.25">
      <c r="A199" s="2" t="s">
        <v>18</v>
      </c>
      <c r="B199" s="14"/>
      <c r="C199" s="18">
        <f>C177+C192</f>
        <v>49914.10837822032</v>
      </c>
      <c r="D199" s="52"/>
      <c r="E199" s="15"/>
    </row>
    <row r="200" spans="1:6" x14ac:dyDescent="0.25">
      <c r="A200" s="2" t="s">
        <v>98</v>
      </c>
      <c r="B200" s="12"/>
      <c r="C200" s="15"/>
      <c r="D200" s="19"/>
      <c r="E200" s="15">
        <f>E178+E192</f>
        <v>2100000</v>
      </c>
    </row>
    <row r="201" spans="1:6" x14ac:dyDescent="0.25">
      <c r="A201" s="2" t="s">
        <v>86</v>
      </c>
      <c r="B201" s="12"/>
      <c r="C201" s="15">
        <f>C179</f>
        <v>-75000</v>
      </c>
      <c r="D201" s="19"/>
      <c r="E201" s="15"/>
    </row>
    <row r="202" spans="1:6" ht="14.95" thickBot="1" x14ac:dyDescent="0.3">
      <c r="A202" s="3" t="s">
        <v>15</v>
      </c>
      <c r="B202" s="23">
        <f>SUM(B198:B200)</f>
        <v>-49999.999999999956</v>
      </c>
      <c r="C202" s="24">
        <f>SUM(C198:C201)</f>
        <v>-25085.89162177968</v>
      </c>
      <c r="D202" s="57">
        <f t="shared" ref="D202:E202" si="8">SUM(D198:D200)</f>
        <v>0</v>
      </c>
      <c r="E202" s="24">
        <f t="shared" si="8"/>
        <v>2100000</v>
      </c>
      <c r="F202" s="6"/>
    </row>
    <row r="204" spans="1:6" ht="14.95" thickBot="1" x14ac:dyDescent="0.3">
      <c r="B204" s="314" t="s">
        <v>13</v>
      </c>
      <c r="C204" s="315"/>
      <c r="D204" s="55" t="s">
        <v>12</v>
      </c>
      <c r="E204" s="7"/>
    </row>
    <row r="205" spans="1:6" ht="14.95" thickBot="1" x14ac:dyDescent="0.3">
      <c r="A205" s="61" t="s">
        <v>187</v>
      </c>
      <c r="B205" s="58" t="s">
        <v>8</v>
      </c>
      <c r="C205" s="60" t="s">
        <v>69</v>
      </c>
      <c r="D205" s="58" t="s">
        <v>9</v>
      </c>
      <c r="E205" s="59" t="s">
        <v>14</v>
      </c>
      <c r="F205" s="5"/>
    </row>
    <row r="206" spans="1:6" ht="16.3" x14ac:dyDescent="0.3">
      <c r="A206" s="163" t="s">
        <v>5</v>
      </c>
      <c r="B206" s="21"/>
      <c r="C206" s="51"/>
      <c r="D206" s="52"/>
      <c r="E206" s="25"/>
    </row>
    <row r="207" spans="1:6" x14ac:dyDescent="0.25">
      <c r="A207" s="2" t="s">
        <v>152</v>
      </c>
      <c r="B207" s="19">
        <f>'Scenario and Data'!D97</f>
        <v>0</v>
      </c>
      <c r="C207" s="20"/>
      <c r="D207" s="19"/>
      <c r="E207" s="25"/>
    </row>
    <row r="208" spans="1:6" x14ac:dyDescent="0.25">
      <c r="A208" s="2" t="s">
        <v>87</v>
      </c>
      <c r="B208" s="12"/>
      <c r="C208" s="13"/>
      <c r="D208" s="19">
        <f>'Scenario and Data'!C97</f>
        <v>-50000</v>
      </c>
      <c r="E208" s="25"/>
    </row>
    <row r="209" spans="1:6" x14ac:dyDescent="0.25">
      <c r="A209" s="2" t="s">
        <v>4</v>
      </c>
      <c r="B209" s="12"/>
      <c r="C209" s="22">
        <f>-'Scenario and Data'!D155</f>
        <v>49914.108378220262</v>
      </c>
      <c r="D209" s="52"/>
      <c r="E209" s="15">
        <f>-'Scenario and Data'!C179</f>
        <v>100000</v>
      </c>
    </row>
    <row r="210" spans="1:6" ht="14.95" thickBot="1" x14ac:dyDescent="0.3">
      <c r="A210" s="3" t="s">
        <v>7</v>
      </c>
      <c r="B210" s="16">
        <f>SUM(B207:B209)</f>
        <v>0</v>
      </c>
      <c r="C210" s="17">
        <f>SUM(C207:C209)</f>
        <v>49914.108378220262</v>
      </c>
      <c r="D210" s="45">
        <f>SUM(D207:D209)</f>
        <v>-50000</v>
      </c>
      <c r="E210" s="17">
        <f>SUM(E207:E209)</f>
        <v>100000</v>
      </c>
      <c r="F210" s="6"/>
    </row>
    <row r="211" spans="1:6" ht="15.65" thickTop="1" thickBot="1" x14ac:dyDescent="0.3">
      <c r="A211" s="3"/>
      <c r="B211" s="40"/>
      <c r="C211" s="40"/>
      <c r="D211" s="41"/>
      <c r="E211" s="40"/>
      <c r="F211" s="6"/>
    </row>
    <row r="212" spans="1:6" ht="16.3" x14ac:dyDescent="0.3">
      <c r="A212" s="163" t="s">
        <v>25</v>
      </c>
      <c r="B212" s="37"/>
      <c r="C212" s="38"/>
      <c r="D212" s="56"/>
      <c r="E212" s="39"/>
    </row>
    <row r="213" spans="1:6" x14ac:dyDescent="0.25">
      <c r="A213" s="2" t="s">
        <v>27</v>
      </c>
      <c r="B213" s="19">
        <f>-B207</f>
        <v>0</v>
      </c>
      <c r="C213" s="20"/>
      <c r="D213" s="19"/>
      <c r="E213" s="15"/>
    </row>
    <row r="214" spans="1:6" x14ac:dyDescent="0.25">
      <c r="A214" s="2" t="s">
        <v>6</v>
      </c>
      <c r="B214" s="21"/>
      <c r="C214" s="22">
        <f>'Scenario and Data'!D155</f>
        <v>-49914.108378220262</v>
      </c>
      <c r="D214" s="19"/>
      <c r="E214" s="15">
        <f>-E209</f>
        <v>-100000</v>
      </c>
    </row>
    <row r="215" spans="1:6" x14ac:dyDescent="0.25">
      <c r="A215" s="2" t="s">
        <v>16</v>
      </c>
      <c r="B215" s="19">
        <f>-'Scenario and Data'!C97</f>
        <v>50000</v>
      </c>
      <c r="C215" s="22"/>
      <c r="D215" s="19"/>
      <c r="E215" s="15"/>
    </row>
    <row r="216" spans="1:6" x14ac:dyDescent="0.25">
      <c r="A216" s="2" t="s">
        <v>155</v>
      </c>
      <c r="B216" s="14">
        <f>'Scenario and Data'!C97</f>
        <v>-50000</v>
      </c>
      <c r="C216" s="18"/>
      <c r="D216" s="19">
        <f>-D208</f>
        <v>50000</v>
      </c>
      <c r="E216" s="25"/>
    </row>
    <row r="217" spans="1:6" x14ac:dyDescent="0.25">
      <c r="A217" s="2" t="s">
        <v>85</v>
      </c>
      <c r="B217" s="14"/>
      <c r="C217" s="18">
        <f>-C201</f>
        <v>75000</v>
      </c>
      <c r="D217" s="19"/>
      <c r="E217" s="25"/>
    </row>
    <row r="218" spans="1:6" x14ac:dyDescent="0.25">
      <c r="A218" s="2" t="s">
        <v>93</v>
      </c>
      <c r="B218" s="14"/>
      <c r="C218" s="18">
        <f>C201</f>
        <v>-75000</v>
      </c>
      <c r="D218" s="19"/>
      <c r="E218" s="25"/>
    </row>
    <row r="219" spans="1:6" x14ac:dyDescent="0.25">
      <c r="B219" s="14"/>
      <c r="C219" s="13"/>
      <c r="D219" s="52"/>
      <c r="E219" s="15"/>
    </row>
    <row r="220" spans="1:6" ht="14.95" thickBot="1" x14ac:dyDescent="0.3">
      <c r="A220" s="3" t="s">
        <v>159</v>
      </c>
      <c r="B220" s="16">
        <f>SUM(B213:B216)</f>
        <v>0</v>
      </c>
      <c r="C220" s="17">
        <f>SUM(C213:C216)</f>
        <v>-49914.108378220262</v>
      </c>
      <c r="D220" s="45">
        <f>SUM(D213:D216)</f>
        <v>50000</v>
      </c>
      <c r="E220" s="17">
        <f>SUM(E213:E216)</f>
        <v>-100000</v>
      </c>
      <c r="F220" s="6"/>
    </row>
    <row r="221" spans="1:6" ht="14.95" thickTop="1" x14ac:dyDescent="0.25">
      <c r="B221" s="12"/>
      <c r="C221" s="13"/>
      <c r="D221" s="52"/>
      <c r="E221" s="15"/>
    </row>
    <row r="222" spans="1:6" x14ac:dyDescent="0.25">
      <c r="A222" s="2" t="s">
        <v>17</v>
      </c>
      <c r="B222" s="14">
        <f>B198+B213+B215</f>
        <v>0</v>
      </c>
      <c r="C222" s="13"/>
      <c r="D222" s="52"/>
      <c r="E222" s="15"/>
    </row>
    <row r="223" spans="1:6" x14ac:dyDescent="0.25">
      <c r="A223" s="2" t="s">
        <v>18</v>
      </c>
      <c r="B223" s="14"/>
      <c r="C223" s="18">
        <f>C199+C214</f>
        <v>5.8207660913467407E-11</v>
      </c>
      <c r="D223" s="52"/>
      <c r="E223" s="15"/>
    </row>
    <row r="224" spans="1:6" x14ac:dyDescent="0.25">
      <c r="A224" s="2" t="s">
        <v>98</v>
      </c>
      <c r="B224" s="12"/>
      <c r="C224" s="15"/>
      <c r="D224" s="19"/>
      <c r="E224" s="15">
        <f>E200+E214</f>
        <v>2000000</v>
      </c>
    </row>
    <row r="225" spans="1:6" x14ac:dyDescent="0.25">
      <c r="A225" s="2" t="s">
        <v>94</v>
      </c>
      <c r="B225" s="12"/>
      <c r="C225" s="15">
        <f>C201</f>
        <v>-75000</v>
      </c>
      <c r="D225" s="19"/>
      <c r="E225" s="15"/>
    </row>
    <row r="226" spans="1:6" ht="14.95" thickBot="1" x14ac:dyDescent="0.3">
      <c r="A226" s="3" t="s">
        <v>15</v>
      </c>
      <c r="B226" s="23">
        <f>SUM(B222:B224)</f>
        <v>0</v>
      </c>
      <c r="C226" s="158">
        <f>SUM(C222:C225)</f>
        <v>-74999.999999999942</v>
      </c>
      <c r="D226" s="57">
        <f t="shared" ref="D226:E226" si="9">SUM(D222:D224)</f>
        <v>0</v>
      </c>
      <c r="E226" s="24">
        <f t="shared" si="9"/>
        <v>2000000</v>
      </c>
      <c r="F226" s="6"/>
    </row>
  </sheetData>
  <mergeCells count="10">
    <mergeCell ref="B28:C28"/>
    <mergeCell ref="B4:C4"/>
    <mergeCell ref="B49:C49"/>
    <mergeCell ref="B72:C72"/>
    <mergeCell ref="B204:C204"/>
    <mergeCell ref="B94:C94"/>
    <mergeCell ref="B116:C116"/>
    <mergeCell ref="B138:C138"/>
    <mergeCell ref="B160:C160"/>
    <mergeCell ref="B182:C18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73202-8600-4E31-987B-948B24D7170B}">
  <dimension ref="A1:S26"/>
  <sheetViews>
    <sheetView showGridLines="0" workbookViewId="0"/>
  </sheetViews>
  <sheetFormatPr defaultRowHeight="14.3" outlineLevelCol="1" x14ac:dyDescent="0.25"/>
  <cols>
    <col min="1" max="1" width="21.375" bestFit="1" customWidth="1"/>
    <col min="2" max="13" width="14.25" customWidth="1"/>
    <col min="14" max="16" width="14.25" hidden="1" customWidth="1" outlineLevel="1"/>
    <col min="17" max="18" width="8.875" hidden="1" customWidth="1" outlineLevel="1"/>
    <col min="19" max="19" width="8.875" collapsed="1"/>
  </cols>
  <sheetData>
    <row r="1" spans="1:18" ht="14.95" x14ac:dyDescent="0.25">
      <c r="A1" s="62" t="s">
        <v>79</v>
      </c>
    </row>
    <row r="3" spans="1:18" ht="14.95" x14ac:dyDescent="0.25">
      <c r="A3" s="127" t="s">
        <v>90</v>
      </c>
      <c r="B3" s="128"/>
      <c r="C3" s="128"/>
      <c r="D3" s="89" t="s">
        <v>70</v>
      </c>
      <c r="E3" s="128"/>
      <c r="F3" s="128"/>
    </row>
    <row r="5" spans="1:18" ht="15.8" thickBot="1" x14ac:dyDescent="0.3"/>
    <row r="6" spans="1:18" ht="14.95" thickBot="1" x14ac:dyDescent="0.3">
      <c r="A6" s="83" t="s">
        <v>91</v>
      </c>
      <c r="B6" s="324" t="s">
        <v>34</v>
      </c>
      <c r="C6" s="318"/>
      <c r="D6" s="318"/>
      <c r="E6" s="318"/>
      <c r="F6" s="318"/>
      <c r="G6" s="325"/>
      <c r="H6" s="326" t="s">
        <v>35</v>
      </c>
      <c r="I6" s="327"/>
      <c r="J6" s="327"/>
      <c r="K6" s="327"/>
      <c r="L6" s="327"/>
      <c r="M6" s="328"/>
      <c r="N6" s="318" t="s">
        <v>36</v>
      </c>
      <c r="O6" s="318"/>
      <c r="P6" s="319" t="s">
        <v>37</v>
      </c>
    </row>
    <row r="7" spans="1:18" x14ac:dyDescent="0.25">
      <c r="A7" s="84" t="s">
        <v>51</v>
      </c>
      <c r="B7" s="329" t="s">
        <v>38</v>
      </c>
      <c r="C7" s="330"/>
      <c r="D7" s="321" t="s">
        <v>39</v>
      </c>
      <c r="E7" s="322"/>
      <c r="F7" s="322"/>
      <c r="G7" s="323"/>
      <c r="H7" s="65" t="s">
        <v>40</v>
      </c>
      <c r="I7" s="66" t="s">
        <v>41</v>
      </c>
      <c r="J7" s="66" t="s">
        <v>42</v>
      </c>
      <c r="K7" s="66" t="s">
        <v>43</v>
      </c>
      <c r="L7" s="66" t="s">
        <v>44</v>
      </c>
      <c r="M7" s="297" t="s">
        <v>45</v>
      </c>
      <c r="N7" s="63" t="s">
        <v>46</v>
      </c>
      <c r="O7" s="64" t="s">
        <v>47</v>
      </c>
      <c r="P7" s="320"/>
    </row>
    <row r="8" spans="1:18" ht="14.95" x14ac:dyDescent="0.25">
      <c r="A8" s="129"/>
      <c r="B8" s="130" t="s">
        <v>71</v>
      </c>
      <c r="C8" s="131" t="s">
        <v>72</v>
      </c>
      <c r="D8" s="132" t="s">
        <v>73</v>
      </c>
      <c r="E8" s="132" t="s">
        <v>74</v>
      </c>
      <c r="F8" s="131" t="s">
        <v>75</v>
      </c>
      <c r="G8" s="133" t="s">
        <v>76</v>
      </c>
      <c r="H8" s="134"/>
      <c r="I8" s="135"/>
      <c r="J8" s="135"/>
      <c r="K8" s="135"/>
      <c r="L8" s="135"/>
      <c r="M8" s="298"/>
      <c r="N8" s="136"/>
      <c r="O8" s="133"/>
      <c r="P8" s="125"/>
    </row>
    <row r="9" spans="1:18" ht="18" customHeight="1" x14ac:dyDescent="0.25">
      <c r="A9" s="70" t="s">
        <v>58</v>
      </c>
      <c r="B9" s="137"/>
      <c r="C9" s="138"/>
      <c r="D9" s="144">
        <f>Accounting!C58</f>
        <v>75000</v>
      </c>
      <c r="E9" s="139"/>
      <c r="F9" s="151"/>
      <c r="G9" s="114">
        <f>Accounting!C69</f>
        <v>-75000</v>
      </c>
      <c r="H9" s="140"/>
      <c r="I9" s="115"/>
      <c r="J9" s="141"/>
      <c r="K9" s="115"/>
      <c r="L9" s="115"/>
      <c r="M9" s="299"/>
      <c r="N9" s="67"/>
      <c r="O9" s="68"/>
      <c r="P9" s="69"/>
      <c r="R9" t="s">
        <v>109</v>
      </c>
    </row>
    <row r="10" spans="1:18" ht="18" customHeight="1" x14ac:dyDescent="0.25">
      <c r="A10" s="70" t="s">
        <v>59</v>
      </c>
      <c r="B10" s="142"/>
      <c r="C10" s="143"/>
      <c r="D10" s="144"/>
      <c r="E10" s="144"/>
      <c r="F10" s="138">
        <f>Accounting!B61</f>
        <v>50000</v>
      </c>
      <c r="G10" s="114"/>
      <c r="H10" s="140"/>
      <c r="I10" s="115"/>
      <c r="J10" s="141"/>
      <c r="K10" s="115"/>
      <c r="L10" s="115">
        <f>G10</f>
        <v>0</v>
      </c>
      <c r="M10" s="300"/>
      <c r="N10" s="67"/>
      <c r="O10" s="68"/>
      <c r="P10" s="69"/>
    </row>
    <row r="11" spans="1:18" ht="18" customHeight="1" x14ac:dyDescent="0.25">
      <c r="A11" s="70" t="s">
        <v>60</v>
      </c>
      <c r="B11" s="142"/>
      <c r="C11" s="115">
        <f>Accounting!B52</f>
        <v>14465.93349349392</v>
      </c>
      <c r="D11" s="115"/>
      <c r="E11" s="144"/>
      <c r="F11" s="143">
        <f>Accounting!B59</f>
        <v>-14465.93349349392</v>
      </c>
      <c r="G11" s="114"/>
      <c r="H11" s="140"/>
      <c r="I11" s="115">
        <f>C11</f>
        <v>14465.93349349392</v>
      </c>
      <c r="J11" s="141"/>
      <c r="K11" s="115"/>
      <c r="L11" s="115"/>
      <c r="M11" s="300"/>
      <c r="N11" s="67"/>
      <c r="O11" s="68"/>
      <c r="P11" s="69"/>
    </row>
    <row r="12" spans="1:18" ht="18" customHeight="1" x14ac:dyDescent="0.25">
      <c r="A12" s="70" t="s">
        <v>4</v>
      </c>
      <c r="B12" s="142"/>
      <c r="C12" s="143">
        <f>Accounting!C54</f>
        <v>49914.108378220262</v>
      </c>
      <c r="D12" s="144">
        <f>Accounting!C148</f>
        <v>-49914.108378220262</v>
      </c>
      <c r="E12" s="144"/>
      <c r="F12" s="143"/>
      <c r="G12" s="114"/>
      <c r="H12" s="140">
        <f>C12</f>
        <v>49914.108378220262</v>
      </c>
      <c r="I12" s="115"/>
      <c r="J12" s="141"/>
      <c r="K12" s="115"/>
      <c r="L12" s="115"/>
      <c r="M12" s="300"/>
      <c r="N12" s="67"/>
      <c r="O12" s="68"/>
      <c r="P12" s="69"/>
    </row>
    <row r="13" spans="1:18" ht="18" customHeight="1" thickBot="1" x14ac:dyDescent="0.3">
      <c r="A13" s="70" t="s">
        <v>61</v>
      </c>
      <c r="B13" s="142"/>
      <c r="C13" s="145"/>
      <c r="D13" s="146"/>
      <c r="E13" s="146">
        <f>Accounting!B150</f>
        <v>-50000</v>
      </c>
      <c r="F13" s="145"/>
      <c r="G13" s="114"/>
      <c r="H13" s="140"/>
      <c r="I13" s="115"/>
      <c r="J13" s="141"/>
      <c r="K13" s="115"/>
      <c r="L13" s="115"/>
      <c r="M13" s="300"/>
      <c r="N13" s="67"/>
      <c r="O13" s="68"/>
      <c r="P13" s="69"/>
    </row>
    <row r="14" spans="1:18" ht="18" customHeight="1" thickBot="1" x14ac:dyDescent="0.3">
      <c r="A14" s="71" t="s">
        <v>48</v>
      </c>
      <c r="B14" s="72"/>
      <c r="C14" s="74"/>
      <c r="D14" s="74"/>
      <c r="E14" s="74"/>
      <c r="F14" s="74"/>
      <c r="G14" s="73"/>
      <c r="H14" s="147">
        <f t="shared" ref="H14:K14" si="0">SUM(H9:H13)</f>
        <v>49914.108378220262</v>
      </c>
      <c r="I14" s="147">
        <f t="shared" si="0"/>
        <v>14465.93349349392</v>
      </c>
      <c r="J14" s="147">
        <f t="shared" si="0"/>
        <v>0</v>
      </c>
      <c r="K14" s="147">
        <f t="shared" si="0"/>
        <v>0</v>
      </c>
      <c r="L14" s="147">
        <f>SUM(L9:L13)</f>
        <v>0</v>
      </c>
      <c r="M14" s="301">
        <f>SUM(M10:M13)</f>
        <v>0</v>
      </c>
      <c r="N14" s="72"/>
      <c r="O14" s="74"/>
      <c r="P14" s="75"/>
    </row>
    <row r="15" spans="1:18" ht="18" customHeight="1" thickBot="1" x14ac:dyDescent="0.3">
      <c r="A15" s="76" t="s">
        <v>49</v>
      </c>
      <c r="B15" s="76"/>
      <c r="C15" s="76"/>
      <c r="D15" s="76"/>
      <c r="E15" s="76"/>
      <c r="F15" s="76"/>
      <c r="G15" s="77">
        <f>SUM(B9:G13)</f>
        <v>0</v>
      </c>
      <c r="H15" s="78"/>
      <c r="I15" s="78"/>
      <c r="J15" s="78"/>
      <c r="K15" s="78"/>
      <c r="L15" s="78"/>
      <c r="M15" s="78"/>
      <c r="N15" s="79"/>
      <c r="O15" s="79"/>
      <c r="P15" s="79"/>
    </row>
    <row r="16" spans="1:18" ht="15.8" thickBot="1" x14ac:dyDescent="0.3"/>
    <row r="17" spans="1:16" ht="14.95" thickBot="1" x14ac:dyDescent="0.3">
      <c r="A17" s="83" t="s">
        <v>92</v>
      </c>
      <c r="B17" s="324" t="s">
        <v>34</v>
      </c>
      <c r="C17" s="318"/>
      <c r="D17" s="318"/>
      <c r="E17" s="318"/>
      <c r="F17" s="318"/>
      <c r="G17" s="325"/>
      <c r="H17" s="326" t="s">
        <v>35</v>
      </c>
      <c r="I17" s="327"/>
      <c r="J17" s="327"/>
      <c r="K17" s="327"/>
      <c r="L17" s="327"/>
      <c r="M17" s="328"/>
      <c r="N17" s="318" t="s">
        <v>36</v>
      </c>
      <c r="O17" s="318"/>
      <c r="P17" s="319" t="s">
        <v>37</v>
      </c>
    </row>
    <row r="18" spans="1:16" x14ac:dyDescent="0.25">
      <c r="A18" s="84" t="s">
        <v>51</v>
      </c>
      <c r="B18" s="329" t="s">
        <v>38</v>
      </c>
      <c r="C18" s="322"/>
      <c r="D18" s="321" t="s">
        <v>39</v>
      </c>
      <c r="E18" s="322"/>
      <c r="F18" s="322"/>
      <c r="G18" s="323"/>
      <c r="H18" s="65" t="s">
        <v>40</v>
      </c>
      <c r="I18" s="66" t="s">
        <v>41</v>
      </c>
      <c r="J18" s="66" t="s">
        <v>42</v>
      </c>
      <c r="K18" s="66" t="s">
        <v>43</v>
      </c>
      <c r="L18" s="66" t="s">
        <v>44</v>
      </c>
      <c r="M18" s="297" t="s">
        <v>45</v>
      </c>
      <c r="N18" s="159" t="s">
        <v>46</v>
      </c>
      <c r="O18" s="64" t="s">
        <v>47</v>
      </c>
      <c r="P18" s="320"/>
    </row>
    <row r="19" spans="1:16" ht="14.95" x14ac:dyDescent="0.25">
      <c r="A19" s="129"/>
      <c r="B19" s="130" t="s">
        <v>71</v>
      </c>
      <c r="C19" s="131" t="s">
        <v>72</v>
      </c>
      <c r="D19" s="132" t="s">
        <v>73</v>
      </c>
      <c r="E19" s="132" t="s">
        <v>74</v>
      </c>
      <c r="F19" s="131" t="s">
        <v>75</v>
      </c>
      <c r="G19" s="133" t="s">
        <v>76</v>
      </c>
      <c r="H19" s="148"/>
      <c r="I19" s="149"/>
      <c r="J19" s="149"/>
      <c r="K19" s="149"/>
      <c r="L19" s="143"/>
      <c r="M19" s="302"/>
      <c r="N19" s="160"/>
      <c r="O19" s="133"/>
      <c r="P19" s="125"/>
    </row>
    <row r="20" spans="1:16" ht="14.95" x14ac:dyDescent="0.25">
      <c r="A20" s="70" t="s">
        <v>62</v>
      </c>
      <c r="B20" s="113">
        <f>Accounting!D53</f>
        <v>-50000</v>
      </c>
      <c r="C20" s="150"/>
      <c r="D20" s="144"/>
      <c r="E20" s="144">
        <f>Accounting!D150</f>
        <v>50000</v>
      </c>
      <c r="F20" s="143"/>
      <c r="G20" s="114"/>
      <c r="H20" s="140"/>
      <c r="I20" s="303">
        <f>B20</f>
        <v>-50000</v>
      </c>
      <c r="J20" s="141"/>
      <c r="K20" s="115"/>
      <c r="L20" s="115"/>
      <c r="M20" s="299"/>
      <c r="N20" s="161"/>
      <c r="O20" s="68"/>
      <c r="P20" s="69"/>
    </row>
    <row r="21" spans="1:16" ht="15.8" thickBot="1" x14ac:dyDescent="0.3">
      <c r="A21" s="70" t="s">
        <v>4</v>
      </c>
      <c r="B21" s="113"/>
      <c r="C21" s="150">
        <f>Accounting!E54</f>
        <v>100000</v>
      </c>
      <c r="D21" s="144">
        <f>Accounting!E60</f>
        <v>-100000</v>
      </c>
      <c r="E21" s="144"/>
      <c r="F21" s="143"/>
      <c r="G21" s="114"/>
      <c r="H21" s="140">
        <f>C21</f>
        <v>100000</v>
      </c>
      <c r="I21" s="115"/>
      <c r="J21" s="141"/>
      <c r="K21" s="115"/>
      <c r="L21" s="115"/>
      <c r="M21" s="300"/>
      <c r="N21" s="161"/>
      <c r="O21" s="68"/>
      <c r="P21" s="69"/>
    </row>
    <row r="22" spans="1:16" ht="15.8" thickBot="1" x14ac:dyDescent="0.3">
      <c r="A22" s="71" t="s">
        <v>63</v>
      </c>
      <c r="B22" s="72"/>
      <c r="C22" s="74"/>
      <c r="D22" s="74"/>
      <c r="E22" s="74"/>
      <c r="F22" s="74"/>
      <c r="G22" s="73"/>
      <c r="H22" s="147">
        <f t="shared" ref="H22:M22" si="1">SUM(H19:H21)</f>
        <v>100000</v>
      </c>
      <c r="I22" s="147">
        <f t="shared" si="1"/>
        <v>-50000</v>
      </c>
      <c r="J22" s="147">
        <f t="shared" si="1"/>
        <v>0</v>
      </c>
      <c r="K22" s="147">
        <f t="shared" si="1"/>
        <v>0</v>
      </c>
      <c r="L22" s="147">
        <f t="shared" si="1"/>
        <v>0</v>
      </c>
      <c r="M22" s="301">
        <f t="shared" si="1"/>
        <v>0</v>
      </c>
      <c r="N22" s="72"/>
      <c r="O22" s="74"/>
      <c r="P22" s="75"/>
    </row>
    <row r="23" spans="1:16" ht="15.8" thickBot="1" x14ac:dyDescent="0.3">
      <c r="A23" s="76" t="s">
        <v>49</v>
      </c>
      <c r="B23" s="76"/>
      <c r="C23" s="76"/>
      <c r="D23" s="76"/>
      <c r="E23" s="76"/>
      <c r="F23" s="76"/>
      <c r="G23" s="77">
        <f>SUM(B20:G21)</f>
        <v>0</v>
      </c>
      <c r="H23" s="78"/>
      <c r="I23" s="78"/>
      <c r="J23" s="78"/>
      <c r="K23" s="78"/>
      <c r="L23" s="78"/>
      <c r="M23" s="78"/>
      <c r="N23" s="79"/>
      <c r="O23" s="79"/>
      <c r="P23" s="79"/>
    </row>
    <row r="26" spans="1:16" ht="14.95" x14ac:dyDescent="0.25">
      <c r="A26" t="s">
        <v>97</v>
      </c>
    </row>
  </sheetData>
  <mergeCells count="12">
    <mergeCell ref="N17:O17"/>
    <mergeCell ref="P17:P18"/>
    <mergeCell ref="D18:G18"/>
    <mergeCell ref="B6:G6"/>
    <mergeCell ref="H6:M6"/>
    <mergeCell ref="N6:O6"/>
    <mergeCell ref="P6:P7"/>
    <mergeCell ref="B7:C7"/>
    <mergeCell ref="D7:G7"/>
    <mergeCell ref="B18:C18"/>
    <mergeCell ref="B17:G17"/>
    <mergeCell ref="H17:M17"/>
  </mergeCells>
  <hyperlinks>
    <hyperlink ref="D5" r:id="rId1" display="&quot;IFRS 16 Worked Example - Operating Lease&quot;" xr:uid="{328EA844-F72B-4751-800D-C3AACF9EDE8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avestamp xmlns="cf922d0c-7565-4a19-867a-78a71dd2f738" xsi:nil="true"/>
    <_ip_UnifiedCompliancePolicyUIAction xmlns="http://schemas.microsoft.com/sharepoint/v3" xsi:nil="true"/>
    <Time xmlns="cf922d0c-7565-4a19-867a-78a71dd2f738"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0B453C2E56BC40827FBB9E03A7F75B" ma:contentTypeVersion="32" ma:contentTypeDescription="Create a new document." ma:contentTypeScope="" ma:versionID="04dd133d15aef2201c904d77d856316c">
  <xsd:schema xmlns:xsd="http://www.w3.org/2001/XMLSchema" xmlns:xs="http://www.w3.org/2001/XMLSchema" xmlns:p="http://schemas.microsoft.com/office/2006/metadata/properties" xmlns:ns1="http://schemas.microsoft.com/sharepoint/v3" xmlns:ns2="cf922d0c-7565-4a19-867a-78a71dd2f738" targetNamespace="http://schemas.microsoft.com/office/2006/metadata/properties" ma:root="true" ma:fieldsID="17203287061b73b82478b3aa300a02b0" ns1:_="" ns2:_="">
    <xsd:import namespace="http://schemas.microsoft.com/sharepoint/v3"/>
    <xsd:import namespace="cf922d0c-7565-4a19-867a-78a71dd2f738"/>
    <xsd:element name="properties">
      <xsd:complexType>
        <xsd:sequence>
          <xsd:element name="documentManagement">
            <xsd:complexType>
              <xsd:all>
                <xsd:element ref="ns2:savestamp" minOccurs="0"/>
                <xsd:element ref="ns2:Time"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922d0c-7565-4a19-867a-78a71dd2f738" elementFormDefault="qualified">
    <xsd:import namespace="http://schemas.microsoft.com/office/2006/documentManagement/types"/>
    <xsd:import namespace="http://schemas.microsoft.com/office/infopath/2007/PartnerControls"/>
    <xsd:element name="savestamp" ma:index="8" nillable="true" ma:displayName="save stamp" ma:format="DateTime" ma:internalName="savestamp">
      <xsd:simpleType>
        <xsd:restriction base="dms:DateTime"/>
      </xsd:simpleType>
    </xsd:element>
    <xsd:element name="Time" ma:index="9" nillable="true" ma:displayName="Time" ma:format="DateTime" ma:internalName="Tim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167784-4DFF-4204-8229-0F2923CD2293}">
  <ds:schemaRefs>
    <ds:schemaRef ds:uri="http://purl.org/dc/dcmitype/"/>
    <ds:schemaRef ds:uri="cf922d0c-7565-4a19-867a-78a71dd2f738"/>
    <ds:schemaRef ds:uri="http://schemas.microsoft.com/office/2006/metadata/properties"/>
    <ds:schemaRef ds:uri="http://schemas.microsoft.com/office/2006/documentManagement/types"/>
    <ds:schemaRef ds:uri="http://schemas.microsoft.com/sharepoint/v3"/>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D62520A-B49F-47ED-B518-367F6C48661D}">
  <ds:schemaRefs>
    <ds:schemaRef ds:uri="http://schemas.microsoft.com/sharepoint/v3/contenttype/forms"/>
  </ds:schemaRefs>
</ds:datastoreItem>
</file>

<file path=customXml/itemProps3.xml><?xml version="1.0" encoding="utf-8"?>
<ds:datastoreItem xmlns:ds="http://schemas.openxmlformats.org/officeDocument/2006/customXml" ds:itemID="{82CCB3A5-344A-4F34-AFAD-A5DA1CCAD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922d0c-7565-4a19-867a-78a71dd2f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Scenario and Data</vt:lpstr>
      <vt:lpstr>Accounting</vt:lpstr>
      <vt:lpstr>Budgeting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16 example: initial measurement of the right-of-use asset and lease liability</dc:title>
  <dc:creator>MM</dc:creator>
  <cp:lastModifiedBy>Eleanor</cp:lastModifiedBy>
  <cp:lastPrinted>2019-08-15T09:38:57Z</cp:lastPrinted>
  <dcterms:created xsi:type="dcterms:W3CDTF">2018-10-06T14:44:45Z</dcterms:created>
  <dcterms:modified xsi:type="dcterms:W3CDTF">2021-10-21T16:45:45Z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0x010100430B453C2E56BC40827FBB9E03A7F75B</vt:lpwstr>
  </property>
</Properties>
</file>