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healthsharedservice-my.sharepoint.com/personal/steven_wareing_dhsc_gov_uk/Documents/Documents/"/>
    </mc:Choice>
  </mc:AlternateContent>
  <xr:revisionPtr revIDLastSave="15" documentId="8_{1825DC88-A8C1-49E9-9FD0-95CC9AF88085}" xr6:coauthVersionLast="47" xr6:coauthVersionMax="47" xr10:uidLastSave="{5F5F1C44-926F-40B1-8F3E-101CF397B9BC}"/>
  <bookViews>
    <workbookView xWindow="13644" yWindow="3864" windowWidth="17280" windowHeight="8964" xr2:uid="{C03BCAD2-5667-4A4C-BDD9-DA1FE675A5C1}"/>
  </bookViews>
  <sheets>
    <sheet name="Scenario and Data" sheetId="1" r:id="rId1"/>
    <sheet name="Accounting" sheetId="2" r:id="rId2"/>
    <sheet name="Budgeting" sheetId="1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5" l="1"/>
  <c r="B150" i="2"/>
  <c r="B149" i="2"/>
  <c r="E168" i="1"/>
  <c r="A145" i="1"/>
  <c r="G121" i="1"/>
  <c r="M23" i="15"/>
  <c r="L23" i="15"/>
  <c r="K23" i="15"/>
  <c r="J23" i="15"/>
  <c r="M15" i="15"/>
  <c r="K15" i="15"/>
  <c r="J15" i="15"/>
  <c r="D231" i="2"/>
  <c r="C226" i="2"/>
  <c r="C218" i="2"/>
  <c r="D216" i="2"/>
  <c r="D224" i="2" s="1"/>
  <c r="D226" i="2" s="1"/>
  <c r="D209" i="2"/>
  <c r="C204" i="2"/>
  <c r="B199" i="2"/>
  <c r="B204" i="2" s="1"/>
  <c r="C196" i="2"/>
  <c r="B196" i="2"/>
  <c r="D194" i="2"/>
  <c r="D202" i="2" s="1"/>
  <c r="D204" i="2" s="1"/>
  <c r="D187" i="2"/>
  <c r="C182" i="2"/>
  <c r="B177" i="2"/>
  <c r="B182" i="2" s="1"/>
  <c r="C174" i="2"/>
  <c r="B174" i="2"/>
  <c r="D172" i="2"/>
  <c r="D180" i="2" s="1"/>
  <c r="D182" i="2" s="1"/>
  <c r="D165" i="2"/>
  <c r="D140" i="2"/>
  <c r="D118" i="2"/>
  <c r="D96" i="2"/>
  <c r="D74" i="2"/>
  <c r="D52" i="2"/>
  <c r="B22" i="2"/>
  <c r="D21" i="2"/>
  <c r="B21" i="2"/>
  <c r="C15" i="2" s="1"/>
  <c r="C16" i="2"/>
  <c r="D9" i="2"/>
  <c r="D11" i="2" s="1"/>
  <c r="D188" i="1"/>
  <c r="D187" i="1"/>
  <c r="D186" i="1"/>
  <c r="D179" i="1"/>
  <c r="B179" i="1"/>
  <c r="C171" i="1"/>
  <c r="E217" i="2" s="1"/>
  <c r="C170" i="1"/>
  <c r="E195" i="2" s="1"/>
  <c r="C169" i="1"/>
  <c r="E173" i="2" s="1"/>
  <c r="C168" i="1"/>
  <c r="C167" i="1"/>
  <c r="C166" i="1"/>
  <c r="C165" i="1"/>
  <c r="C164" i="1"/>
  <c r="C163" i="1"/>
  <c r="C162" i="1"/>
  <c r="B162" i="1"/>
  <c r="C98" i="1"/>
  <c r="C97" i="1"/>
  <c r="C96" i="1"/>
  <c r="C95" i="1"/>
  <c r="B185" i="1" s="1"/>
  <c r="D185" i="1" s="1"/>
  <c r="C94" i="1"/>
  <c r="B132" i="2" s="1"/>
  <c r="C93" i="1"/>
  <c r="B110" i="2" s="1"/>
  <c r="C92" i="1"/>
  <c r="C91" i="1"/>
  <c r="C90" i="1"/>
  <c r="B44" i="2" s="1"/>
  <c r="A68" i="1"/>
  <c r="A69" i="1" s="1"/>
  <c r="D67" i="1"/>
  <c r="E67" i="1" s="1"/>
  <c r="D24" i="2" l="1"/>
  <c r="E222" i="2"/>
  <c r="E226" i="2" s="1"/>
  <c r="E218" i="2"/>
  <c r="A70" i="1"/>
  <c r="D69" i="1"/>
  <c r="E69" i="1" s="1"/>
  <c r="E19" i="2"/>
  <c r="E148" i="2"/>
  <c r="E167" i="1"/>
  <c r="E126" i="2" s="1"/>
  <c r="E166" i="1"/>
  <c r="E104" i="2" s="1"/>
  <c r="E165" i="1"/>
  <c r="E82" i="2" s="1"/>
  <c r="E164" i="1"/>
  <c r="E60" i="2" s="1"/>
  <c r="E163" i="1"/>
  <c r="E38" i="2" s="1"/>
  <c r="E162" i="1"/>
  <c r="E10" i="2" s="1"/>
  <c r="E196" i="2"/>
  <c r="E200" i="2"/>
  <c r="E204" i="2" s="1"/>
  <c r="B111" i="2"/>
  <c r="B180" i="1"/>
  <c r="B45" i="2"/>
  <c r="B67" i="2"/>
  <c r="B66" i="2"/>
  <c r="B89" i="2"/>
  <c r="B88" i="2"/>
  <c r="B182" i="1"/>
  <c r="B184" i="1"/>
  <c r="B133" i="2"/>
  <c r="B157" i="2"/>
  <c r="E14" i="15" s="1"/>
  <c r="B156" i="2"/>
  <c r="F14" i="15" s="1"/>
  <c r="B181" i="1"/>
  <c r="E174" i="2"/>
  <c r="E178" i="2"/>
  <c r="E182" i="2" s="1"/>
  <c r="D147" i="2"/>
  <c r="D68" i="1"/>
  <c r="E68" i="1" s="1"/>
  <c r="B183" i="1"/>
  <c r="D174" i="2"/>
  <c r="D196" i="2"/>
  <c r="D218" i="2"/>
  <c r="F162" i="1" l="1"/>
  <c r="B163" i="1" s="1"/>
  <c r="F163" i="1" s="1"/>
  <c r="B164" i="1" s="1"/>
  <c r="F164" i="1" s="1"/>
  <c r="B165" i="1" s="1"/>
  <c r="F165" i="1" s="1"/>
  <c r="B166" i="1" s="1"/>
  <c r="F166" i="1" s="1"/>
  <c r="B167" i="1" s="1"/>
  <c r="F167" i="1" s="1"/>
  <c r="B168" i="1" s="1"/>
  <c r="F168" i="1" s="1"/>
  <c r="B169" i="1" s="1"/>
  <c r="F169" i="1" s="1"/>
  <c r="B170" i="1" s="1"/>
  <c r="F170" i="1" s="1"/>
  <c r="B171" i="1" s="1"/>
  <c r="F171" i="1" s="1"/>
  <c r="E83" i="2"/>
  <c r="E87" i="2"/>
  <c r="E91" i="2" s="1"/>
  <c r="E43" i="2"/>
  <c r="E47" i="2" s="1"/>
  <c r="E39" i="2"/>
  <c r="E131" i="2"/>
  <c r="E135" i="2" s="1"/>
  <c r="E127" i="2"/>
  <c r="D181" i="1"/>
  <c r="D59" i="2"/>
  <c r="D125" i="2"/>
  <c r="D184" i="1"/>
  <c r="E20" i="2"/>
  <c r="E28" i="2" s="1"/>
  <c r="E11" i="2"/>
  <c r="D70" i="1"/>
  <c r="E70" i="1" s="1"/>
  <c r="A71" i="1"/>
  <c r="B21" i="15"/>
  <c r="D151" i="2"/>
  <c r="D157" i="2"/>
  <c r="D182" i="1"/>
  <c r="D81" i="2"/>
  <c r="D37" i="2"/>
  <c r="D180" i="1"/>
  <c r="E105" i="2"/>
  <c r="E109" i="2"/>
  <c r="E113" i="2" s="1"/>
  <c r="D103" i="2"/>
  <c r="D183" i="1"/>
  <c r="C22" i="15"/>
  <c r="H22" i="15" s="1"/>
  <c r="H23" i="15" s="1"/>
  <c r="E151" i="2"/>
  <c r="E155" i="2"/>
  <c r="E61" i="2"/>
  <c r="E65" i="2"/>
  <c r="E69" i="2" s="1"/>
  <c r="E24" i="2" l="1"/>
  <c r="A72" i="1"/>
  <c r="D71" i="1"/>
  <c r="E71" i="1" s="1"/>
  <c r="D22" i="15"/>
  <c r="E160" i="2"/>
  <c r="D105" i="2"/>
  <c r="D111" i="2"/>
  <c r="D113" i="2" s="1"/>
  <c r="D39" i="2"/>
  <c r="D45" i="2"/>
  <c r="D47" i="2" s="1"/>
  <c r="D160" i="2"/>
  <c r="E21" i="15"/>
  <c r="D127" i="2"/>
  <c r="D133" i="2"/>
  <c r="D135" i="2" s="1"/>
  <c r="D67" i="2"/>
  <c r="D69" i="2" s="1"/>
  <c r="D61" i="2"/>
  <c r="D83" i="2"/>
  <c r="D89" i="2"/>
  <c r="D91" i="2" s="1"/>
  <c r="I21" i="15"/>
  <c r="I23" i="15" s="1"/>
  <c r="E51" i="2"/>
  <c r="E29" i="2"/>
  <c r="G24" i="15" l="1"/>
  <c r="A73" i="1"/>
  <c r="D72" i="1"/>
  <c r="E72" i="1" s="1"/>
  <c r="E73" i="2"/>
  <c r="E52" i="2"/>
  <c r="A74" i="1" l="1"/>
  <c r="D73" i="1"/>
  <c r="E73" i="1" s="1"/>
  <c r="E95" i="2"/>
  <c r="E74" i="2"/>
  <c r="E96" i="2" l="1"/>
  <c r="E117" i="2"/>
  <c r="D74" i="1"/>
  <c r="E74" i="1" s="1"/>
  <c r="A75" i="1"/>
  <c r="D75" i="1" s="1"/>
  <c r="E75" i="1" s="1"/>
  <c r="E76" i="1" l="1"/>
  <c r="A86" i="1"/>
  <c r="A112" i="1" s="1"/>
  <c r="E139" i="2"/>
  <c r="E118" i="2"/>
  <c r="B17" i="2" l="1"/>
  <c r="B89" i="1"/>
  <c r="E164" i="2"/>
  <c r="E140" i="2"/>
  <c r="C123" i="1" l="1"/>
  <c r="C122" i="1"/>
  <c r="C121" i="1"/>
  <c r="C119" i="1"/>
  <c r="C116" i="1"/>
  <c r="C115" i="1"/>
  <c r="C124" i="1"/>
  <c r="C117" i="1"/>
  <c r="B115" i="1"/>
  <c r="C120" i="1"/>
  <c r="C118" i="1"/>
  <c r="D89" i="1"/>
  <c r="E186" i="2"/>
  <c r="E165" i="2"/>
  <c r="C14" i="2"/>
  <c r="B7" i="2" l="1"/>
  <c r="C65" i="2"/>
  <c r="C69" i="2" s="1"/>
  <c r="C58" i="2"/>
  <c r="C61" i="2" s="1"/>
  <c r="C109" i="2"/>
  <c r="C113" i="2" s="1"/>
  <c r="C102" i="2"/>
  <c r="C105" i="2" s="1"/>
  <c r="C80" i="2"/>
  <c r="C83" i="2" s="1"/>
  <c r="C87" i="2"/>
  <c r="C91" i="2" s="1"/>
  <c r="C146" i="2"/>
  <c r="C155" i="2"/>
  <c r="E208" i="2"/>
  <c r="E187" i="2"/>
  <c r="C131" i="2"/>
  <c r="C135" i="2" s="1"/>
  <c r="C124" i="2"/>
  <c r="C127" i="2" s="1"/>
  <c r="C8" i="2"/>
  <c r="C11" i="2" s="1"/>
  <c r="G122" i="1"/>
  <c r="C20" i="2"/>
  <c r="C24" i="2" s="1"/>
  <c r="C27" i="2" s="1"/>
  <c r="E89" i="1"/>
  <c r="B90" i="1" s="1"/>
  <c r="D115" i="1"/>
  <c r="C43" i="2"/>
  <c r="C47" i="2" s="1"/>
  <c r="C36" i="2"/>
  <c r="C39" i="2" s="1"/>
  <c r="D90" i="1" l="1"/>
  <c r="E90" i="1" s="1"/>
  <c r="B91" i="1" s="1"/>
  <c r="E230" i="2"/>
  <c r="E231" i="2" s="1"/>
  <c r="E209" i="2"/>
  <c r="B116" i="1"/>
  <c r="D116" i="1" s="1"/>
  <c r="E115" i="1"/>
  <c r="C29" i="2"/>
  <c r="C50" i="2"/>
  <c r="D13" i="15"/>
  <c r="C160" i="2"/>
  <c r="C13" i="15"/>
  <c r="H13" i="15" s="1"/>
  <c r="H15" i="15" s="1"/>
  <c r="C151" i="2"/>
  <c r="B18" i="2"/>
  <c r="B11" i="2"/>
  <c r="C52" i="2" l="1"/>
  <c r="C72" i="2"/>
  <c r="D91" i="1"/>
  <c r="B57" i="2" s="1"/>
  <c r="B24" i="2"/>
  <c r="B26" i="2"/>
  <c r="E116" i="1"/>
  <c r="B117" i="1"/>
  <c r="D117" i="1" s="1"/>
  <c r="B35" i="2"/>
  <c r="E91" i="1" l="1"/>
  <c r="B92" i="1" s="1"/>
  <c r="B64" i="2"/>
  <c r="B69" i="2" s="1"/>
  <c r="B61" i="2"/>
  <c r="B29" i="2"/>
  <c r="C94" i="2"/>
  <c r="C74" i="2"/>
  <c r="B118" i="1"/>
  <c r="D118" i="1" s="1"/>
  <c r="B42" i="2"/>
  <c r="B47" i="2" s="1"/>
  <c r="B39" i="2"/>
  <c r="E117" i="1" l="1"/>
  <c r="C116" i="2"/>
  <c r="C96" i="2"/>
  <c r="B119" i="1"/>
  <c r="D119" i="1" s="1"/>
  <c r="B49" i="2"/>
  <c r="D92" i="1"/>
  <c r="E92" i="1"/>
  <c r="B93" i="1" s="1"/>
  <c r="B52" i="2" l="1"/>
  <c r="B71" i="2"/>
  <c r="C118" i="2"/>
  <c r="C138" i="2"/>
  <c r="B120" i="1"/>
  <c r="D120" i="1" s="1"/>
  <c r="D93" i="1"/>
  <c r="B101" i="2" s="1"/>
  <c r="E118" i="1"/>
  <c r="B79" i="2"/>
  <c r="B86" i="2" l="1"/>
  <c r="B91" i="2" s="1"/>
  <c r="B83" i="2"/>
  <c r="E93" i="1"/>
  <c r="C140" i="2"/>
  <c r="B105" i="2"/>
  <c r="B108" i="2"/>
  <c r="B113" i="2" s="1"/>
  <c r="B121" i="1"/>
  <c r="D121" i="1" s="1"/>
  <c r="B135" i="1" s="1"/>
  <c r="B74" i="2"/>
  <c r="B93" i="2"/>
  <c r="B94" i="1" l="1"/>
  <c r="E119" i="1"/>
  <c r="B115" i="2"/>
  <c r="B96" i="2"/>
  <c r="B137" i="1"/>
  <c r="B122" i="1"/>
  <c r="D122" i="1" s="1"/>
  <c r="B138" i="1" l="1"/>
  <c r="B123" i="1"/>
  <c r="D123" i="1" s="1"/>
  <c r="B118" i="2"/>
  <c r="C158" i="2"/>
  <c r="D94" i="1"/>
  <c r="B123" i="2" l="1"/>
  <c r="E94" i="1"/>
  <c r="D9" i="15"/>
  <c r="C163" i="2"/>
  <c r="B124" i="1"/>
  <c r="D124" i="1" s="1"/>
  <c r="L9" i="15" l="1"/>
  <c r="C9" i="15"/>
  <c r="B95" i="1"/>
  <c r="E120" i="1"/>
  <c r="C165" i="2"/>
  <c r="C185" i="2"/>
  <c r="B130" i="2"/>
  <c r="B127" i="2"/>
  <c r="B135" i="2" l="1"/>
  <c r="B137" i="2"/>
  <c r="C187" i="2"/>
  <c r="C207" i="2"/>
  <c r="D95" i="1"/>
  <c r="B145" i="2" s="1"/>
  <c r="E95" i="1"/>
  <c r="C209" i="2" l="1"/>
  <c r="C229" i="2"/>
  <c r="C231" i="2" s="1"/>
  <c r="B142" i="1"/>
  <c r="B140" i="1"/>
  <c r="B96" i="1"/>
  <c r="E121" i="1"/>
  <c r="B140" i="2"/>
  <c r="B154" i="2"/>
  <c r="C12" i="15"/>
  <c r="I12" i="15" s="1"/>
  <c r="I15" i="15" s="1"/>
  <c r="B143" i="1" l="1"/>
  <c r="B158" i="2"/>
  <c r="B160" i="2"/>
  <c r="F12" i="15"/>
  <c r="D96" i="1"/>
  <c r="E96" i="1" s="1"/>
  <c r="B97" i="1" l="1"/>
  <c r="E122" i="1"/>
  <c r="B151" i="2"/>
  <c r="F10" i="15"/>
  <c r="B10" i="15" s="1"/>
  <c r="B162" i="2"/>
  <c r="B184" i="2" l="1"/>
  <c r="B165" i="2"/>
  <c r="L15" i="15"/>
  <c r="G16" i="15"/>
  <c r="D97" i="1"/>
  <c r="E97" i="1"/>
  <c r="B98" i="1" l="1"/>
  <c r="E123" i="1"/>
  <c r="B206" i="2"/>
  <c r="B187" i="2"/>
  <c r="D98" i="1" l="1"/>
  <c r="E98" i="1" s="1"/>
  <c r="E124" i="1" s="1"/>
  <c r="B209" i="2"/>
  <c r="B214" i="2" l="1"/>
  <c r="G123" i="1"/>
  <c r="G124" i="1" s="1"/>
  <c r="B221" i="2" l="1"/>
  <c r="B218" i="2"/>
  <c r="B226" i="2" l="1"/>
  <c r="B228" i="2"/>
  <c r="B231" i="2" s="1"/>
</calcChain>
</file>

<file path=xl/sharedStrings.xml><?xml version="1.0" encoding="utf-8"?>
<sst xmlns="http://schemas.openxmlformats.org/spreadsheetml/2006/main" count="483" uniqueCount="217">
  <si>
    <t>IFRS16 Worked Example - Operating Lease - Early Termination - Scenario and Data</t>
  </si>
  <si>
    <t>Scenario details</t>
  </si>
  <si>
    <t>Objectives</t>
  </si>
  <si>
    <t>The purpose of this example is to show accounting entries and budgeting impact of the early termination of an operating lease arrangement between two entities.</t>
  </si>
  <si>
    <t>There are three tabs in this workbook:</t>
  </si>
  <si>
    <t>1. Scenario and Data</t>
  </si>
  <si>
    <t>2. Accounting</t>
  </si>
  <si>
    <t>3. Budgeting</t>
  </si>
  <si>
    <t>Firstly, We need to complete few calculations based on the scenario details provided above. These calculations are:</t>
  </si>
  <si>
    <t>Lessee:</t>
  </si>
  <si>
    <t>Step 1</t>
  </si>
  <si>
    <t>Identify discount rate that can be used to calculate present value of the future lease payments</t>
  </si>
  <si>
    <t>Step 2</t>
  </si>
  <si>
    <t>Calculate PV of future lease payments using the discount rate</t>
  </si>
  <si>
    <t>Step 3</t>
  </si>
  <si>
    <t xml:space="preserve">Calculate lease liability  </t>
  </si>
  <si>
    <t>Step 4</t>
  </si>
  <si>
    <t>Calculate value of the RoU asset considering any potential upfront payments, lease incentives etc.</t>
  </si>
  <si>
    <t>Step 5</t>
  </si>
  <si>
    <t>Decide what depreciation period of the RoU asset is appropriate considering length of the lease and the useful life of the asset</t>
  </si>
  <si>
    <t>Step 6</t>
  </si>
  <si>
    <t>Calculate the effect of the lease termination on the 31st March 2029</t>
  </si>
  <si>
    <t>Lessor:</t>
  </si>
  <si>
    <t>Step 7</t>
  </si>
  <si>
    <t>Calculate lessor's depreciation charge for the underlying asset</t>
  </si>
  <si>
    <t>Step 8</t>
  </si>
  <si>
    <t>Calculate lessor's income recognised in the profit and loss</t>
  </si>
  <si>
    <t xml:space="preserve">To note: This is an operating lease. The lessor is not required to recognise lease receivable on the balance sheet and therefore is not required to calculate the rate implicit in the lease. </t>
  </si>
  <si>
    <t>Notes and Relevant Guidance</t>
  </si>
  <si>
    <t>No exemptions apply in this scenario. The asset is not considered to be low value and the contract does not meet definition of a short-term lease (IFRS16.5-8) (IFRS16 B3-B8)</t>
  </si>
  <si>
    <t xml:space="preserve">The initial direct costs are incremental costs of obtaining a lease that would not have been incurred if the lease had not been obtained (IFRS 16.Appendix A). Examples of such costs are professional fees </t>
  </si>
  <si>
    <t>The definition of initial direct costs is essentially the same as for incremental costs of obtaining a contract in IFRS 15 and is consistent with treatment of directly attributable costs under IAS 16</t>
  </si>
  <si>
    <t xml:space="preserve">The underlying asset is depreciated on a straight line basis over 50 years.  </t>
  </si>
  <si>
    <t xml:space="preserve">The discount rate implicit in this scenario has been provided (5%). The rate of interest that causes the present value of (a) the lease payments and (b) the unguaranteed residual value to equal the sum of (i) </t>
  </si>
  <si>
    <t>the fair value of the underlying asset and (ii) any initial direct costs of the lessor. If this rate is not readily available entities will use discount rates published by HMT (FReM 3.8)</t>
  </si>
  <si>
    <t>For a lease modification that is not accounted for as a separate lease, the lessee accounts for the remeasurement of the lease liability by decreasing the carrying amount of the right-of-use asset to reflect</t>
  </si>
  <si>
    <t>the partial or full termination of the lease. The lessee recognises in profit or loss any gain or loss relating to the partial or full termination of the lease. (IFRS16.46)</t>
  </si>
  <si>
    <t>Contract starts on 1st April 2022.</t>
  </si>
  <si>
    <t>Commencement date</t>
  </si>
  <si>
    <t xml:space="preserve">Discount rate </t>
  </si>
  <si>
    <t>Note 8</t>
  </si>
  <si>
    <t>Future payments for the lease are listed  in the table below. For each payment, the discount factor is calculated in order to determine the total present value</t>
  </si>
  <si>
    <t>of the lease liability. Initial measurement of a lease liability amounts to £355,391 and is calculated as follows:</t>
  </si>
  <si>
    <t>Calculation of the PV of future payments</t>
  </si>
  <si>
    <t>Payment</t>
  </si>
  <si>
    <t>Date of payment</t>
  </si>
  <si>
    <t>Discount Factor</t>
  </si>
  <si>
    <t>Discounted Amount</t>
  </si>
  <si>
    <t>Using the present value of the lease payments We can establish lease liability.</t>
  </si>
  <si>
    <t>The lessee is required to present finance cost of the lease in  the P&amp;L separately from depreciation expense of the ROU asset.</t>
  </si>
  <si>
    <t>Below calculation also provides closing balance of the lease liability recognised by the lessee every year over the term of the contract.</t>
  </si>
  <si>
    <t>LESSEE - Lease Liability (IFRS 16.26)</t>
  </si>
  <si>
    <t xml:space="preserve">Lease liability at initial recognition: </t>
  </si>
  <si>
    <t>Year</t>
  </si>
  <si>
    <t>Opening (1 Apr)</t>
  </si>
  <si>
    <t>payment (1 Apr)</t>
  </si>
  <si>
    <r>
      <t xml:space="preserve">Interest Expense - </t>
    </r>
    <r>
      <rPr>
        <sz val="10"/>
        <color rgb="FFFF0000"/>
        <rFont val="Calibri"/>
        <family val="2"/>
        <scheme val="minor"/>
      </rPr>
      <t>note 7</t>
    </r>
  </si>
  <si>
    <t>closing (31 Mar)</t>
  </si>
  <si>
    <t>2022-23</t>
  </si>
  <si>
    <t>2023-24</t>
  </si>
  <si>
    <t>2024-25</t>
  </si>
  <si>
    <t>2025-26</t>
  </si>
  <si>
    <t>2026-27</t>
  </si>
  <si>
    <t>2027-28</t>
  </si>
  <si>
    <t>2028-29</t>
  </si>
  <si>
    <t>2029-30</t>
  </si>
  <si>
    <t>2030-31</t>
  </si>
  <si>
    <t>2031-32</t>
  </si>
  <si>
    <t>Step 4 and 5</t>
  </si>
  <si>
    <t>The initial direct costs paid by lessee, upfront payments and lease incentives are included in the initial recognition of the RoU asset.</t>
  </si>
  <si>
    <t>RoU Asset components</t>
  </si>
  <si>
    <t>Initial direct costs paid by lessee</t>
  </si>
  <si>
    <t>Note 2</t>
  </si>
  <si>
    <t>Upfront lease payment paid by lessee</t>
  </si>
  <si>
    <t>Note 5</t>
  </si>
  <si>
    <t xml:space="preserve">The right-of-use asset is depreciated under IAS 16 requirements (IFRS 16.31). </t>
  </si>
  <si>
    <t>The difference between closing value of the RoU asset and lease liability is shown in column E</t>
  </si>
  <si>
    <t>LESSEE - ROU Asset (IFRS 16.23)</t>
  </si>
  <si>
    <t>Gross book value of the right-of use asset at initial recognition</t>
  </si>
  <si>
    <t xml:space="preserve">Year </t>
  </si>
  <si>
    <t>NBV opening (1 Apr)</t>
  </si>
  <si>
    <t>Depreciation</t>
  </si>
  <si>
    <t>NBV closing (31 Mar)</t>
  </si>
  <si>
    <t>Diff to liability</t>
  </si>
  <si>
    <t>LESSE - reconciliation</t>
  </si>
  <si>
    <t>Total payments</t>
  </si>
  <si>
    <t>Depreciation expense</t>
  </si>
  <si>
    <t>Discounting expense</t>
  </si>
  <si>
    <t>Total expense</t>
  </si>
  <si>
    <t>Lease Termination</t>
  </si>
  <si>
    <t>Lease modification made on 31 March 2029</t>
  </si>
  <si>
    <t>Calculation of gain/loss on the termination of the lease under old terms</t>
  </si>
  <si>
    <t>Right-of-use asset before modification</t>
  </si>
  <si>
    <t>Modified scope (full termination)</t>
  </si>
  <si>
    <t>Decrease of right-of-use asset</t>
  </si>
  <si>
    <t>Right-of-use after scope decrease</t>
  </si>
  <si>
    <t>Liability before modification</t>
  </si>
  <si>
    <t>Decrease of liability</t>
  </si>
  <si>
    <t>Liability after scope decrease</t>
  </si>
  <si>
    <t>The difference between carrying value of the lease liability and the right-of-use asset represent gain on the termination of the lease under old terms.</t>
  </si>
  <si>
    <t>This value is immediately recognised in the P&amp;L by the lessee.</t>
  </si>
  <si>
    <t>Lease is accounted for as an operating lease which means that the underlying asset remains on the Lessor's balance sheet.</t>
  </si>
  <si>
    <t>Underlying Asset</t>
  </si>
  <si>
    <t>Cost Value</t>
  </si>
  <si>
    <t>Accumulated Depreciation</t>
  </si>
  <si>
    <t>Net Book Value</t>
  </si>
  <si>
    <t>Annual Depreciation (50 years - straight line)</t>
  </si>
  <si>
    <t xml:space="preserve">LESSOR - Underlying Asset </t>
  </si>
  <si>
    <t>NBV Closing (31 Mar)</t>
  </si>
  <si>
    <t>The income recognised by the lessor consists of the annual cash payments of £50k.</t>
  </si>
  <si>
    <r>
      <t xml:space="preserve">LESSOR - Income - </t>
    </r>
    <r>
      <rPr>
        <sz val="10"/>
        <color rgb="FFFF0000"/>
        <rFont val="Calibri"/>
        <family val="2"/>
        <scheme val="minor"/>
      </rPr>
      <t>note 6</t>
    </r>
  </si>
  <si>
    <t>Lease receipts</t>
  </si>
  <si>
    <t>Total Income</t>
  </si>
  <si>
    <t>IFRS16 Worked Example - Operating Lease - Early Termination - Accounting Entries</t>
  </si>
  <si>
    <t>LESSEE</t>
  </si>
  <si>
    <t>LESSOR</t>
  </si>
  <si>
    <t>YEAR 1 (31/03/2023)</t>
  </si>
  <si>
    <t>Lessee (Lease)</t>
  </si>
  <si>
    <t>Lessee (Right of Use Asset)</t>
  </si>
  <si>
    <t>Lessor (Lease)</t>
  </si>
  <si>
    <t>Lessor (Asset)</t>
  </si>
  <si>
    <t>I &amp; E</t>
  </si>
  <si>
    <t>Lease Interest cost</t>
  </si>
  <si>
    <t>Depreciation - RoU Asset</t>
  </si>
  <si>
    <t>Dep'n - lessee (£420,391 / 10 years)</t>
  </si>
  <si>
    <t>Income - Lease payment</t>
  </si>
  <si>
    <t>Depreciation - Underlying Asset</t>
  </si>
  <si>
    <t>Dep'n - lessor (£5m / 50 years) + additions depreciated over 10 years.</t>
  </si>
  <si>
    <t>TOTAL</t>
  </si>
  <si>
    <t>BALANCE SHEET Movements</t>
  </si>
  <si>
    <t xml:space="preserve">Right of use of asset </t>
  </si>
  <si>
    <t>Total value of the asset on lessee BS £420,391</t>
  </si>
  <si>
    <t>Right of use of Assets - upfront payment</t>
  </si>
  <si>
    <t>£50k upfront payment included in t asset value</t>
  </si>
  <si>
    <t>Right of use of Asset - initial direct costs</t>
  </si>
  <si>
    <t>£20k direct costs to a third party included in the ROU asset value</t>
  </si>
  <si>
    <t>Lease liability (discounted)</t>
  </si>
  <si>
    <t>Lease liability at initial recognition</t>
  </si>
  <si>
    <t>Lease unwinding of discount</t>
  </si>
  <si>
    <t>Interest cost in year 1</t>
  </si>
  <si>
    <t>Underlying Asset - additions (lease incentives)</t>
  </si>
  <si>
    <t>Lease incentive received by lessee</t>
  </si>
  <si>
    <t>Annual depreciation charge</t>
  </si>
  <si>
    <t>Cash Lease (payment) / receipt</t>
  </si>
  <si>
    <t>Cash Initial direct costs payment</t>
  </si>
  <si>
    <t>Doesn't eliminate as paid to a external party</t>
  </si>
  <si>
    <t>TOTAL MOVEMENTS</t>
  </si>
  <si>
    <t>Lease Liability C/F</t>
  </si>
  <si>
    <t>Liability O/B + interest</t>
  </si>
  <si>
    <t>Right of Use of Asset NBV C/F</t>
  </si>
  <si>
    <t>ROU asset including direct costs, upfront payment less dep'n for the year</t>
  </si>
  <si>
    <t>Underlying asset NBV C/F</t>
  </si>
  <si>
    <t xml:space="preserve">Closing </t>
  </si>
  <si>
    <t>YEAR 2 (31/03/2024)</t>
  </si>
  <si>
    <t>Depreciation - underlying asset</t>
  </si>
  <si>
    <t>Lease Unwinding of Discount</t>
  </si>
  <si>
    <t>Lease liability</t>
  </si>
  <si>
    <t>YEAR 3 (31/03/2025)</t>
  </si>
  <si>
    <t>YEAR 4 (31/03/2026)</t>
  </si>
  <si>
    <t>YEAR 5 (31/03/2027)</t>
  </si>
  <si>
    <t>YEAR 6 (31/03/2028)</t>
  </si>
  <si>
    <t>YEAR 7 (31/03/2029)</t>
  </si>
  <si>
    <t>Derecognition of the ROU asset / liability</t>
  </si>
  <si>
    <t>Derecognition of ROU asset and Liability</t>
  </si>
  <si>
    <t>YEAR 8 (31/03/2030)</t>
  </si>
  <si>
    <t>YEAR 9 (31/03/2031)</t>
  </si>
  <si>
    <t>YEAR 10 (31/03/2032)</t>
  </si>
  <si>
    <t>IFRS16 Worked Example - Operating Lease - Early Termination - Budget</t>
  </si>
  <si>
    <t>For budgeting impact in years 1 - 6 please refer to :</t>
  </si>
  <si>
    <t>"IFRS 16 Worked Example - Operating Lease"</t>
  </si>
  <si>
    <t>LESSEE - Yr 7</t>
  </si>
  <si>
    <t>ACCOUNTS</t>
  </si>
  <si>
    <t>BUDGETS</t>
  </si>
  <si>
    <t>NATIONAL ACCOUNTS</t>
  </si>
  <si>
    <t>OSCAR coding</t>
  </si>
  <si>
    <t>Worked Example</t>
  </si>
  <si>
    <t>SOCNE
("I&amp;E")</t>
  </si>
  <si>
    <t>SOFP
("Bal sheet")</t>
  </si>
  <si>
    <t>RDEL RF</t>
  </si>
  <si>
    <t>RDEL NRF</t>
  </si>
  <si>
    <t>RDEL Total</t>
  </si>
  <si>
    <t>RAME</t>
  </si>
  <si>
    <t>CDEL</t>
  </si>
  <si>
    <t>CAME</t>
  </si>
  <si>
    <t>PSNB</t>
  </si>
  <si>
    <t>PSND</t>
  </si>
  <si>
    <t>Income</t>
  </si>
  <si>
    <t>Expense</t>
  </si>
  <si>
    <t>Assets</t>
  </si>
  <si>
    <t>Cash</t>
  </si>
  <si>
    <t>Liability</t>
  </si>
  <si>
    <t>Equity</t>
  </si>
  <si>
    <t>ROU Asset - derecognition</t>
  </si>
  <si>
    <t>Derecognition of the RoU Asset - negative CDEL</t>
  </si>
  <si>
    <t>Lease Liability - derecognition</t>
  </si>
  <si>
    <t>Gain on early termination</t>
  </si>
  <si>
    <t>Interest</t>
  </si>
  <si>
    <t>Interest scores to NRF RDEL</t>
  </si>
  <si>
    <t>Depreciation scores to RF RDEL</t>
  </si>
  <si>
    <t>Cash Paid</t>
  </si>
  <si>
    <t xml:space="preserve">Total budgeting </t>
  </si>
  <si>
    <t>Check Accounting DR/CR</t>
  </si>
  <si>
    <t>LESSOR - Yr7</t>
  </si>
  <si>
    <t>Lease Income</t>
  </si>
  <si>
    <t>* Depreciation scores to NRF RDEL for Providers</t>
  </si>
  <si>
    <t>The lease payments made at or before the commencement date are not included in the lease liability, but they are included in the measurement of the right-of-use assets. (IFRS16.24(b))</t>
  </si>
  <si>
    <t xml:space="preserve">The income recognised by lessor consists of the annual cash payments of £50k. </t>
  </si>
  <si>
    <t>The lessee presents interest expense in the P&amp;L separately from depreciation expense of the ROU asset (IFRS16.49) (IFRS16 BC209)</t>
  </si>
  <si>
    <t>The lessor adds initial costs incurred in obtaining an operating lease to the carrying amount of the underlying asset, recognising those costs as an expense over the lease term on the same basis as the lease income. IFRS 16.83</t>
  </si>
  <si>
    <t xml:space="preserve">Two entities, entity A (Lessee) and entity B (Lessor) enter into a lease agreement on the 1st of April 2022. The lease term is 10 years. At the commencement the lessee pays £20k initial direct costs to a third party as well as upfront payment of £50k paid to the lessor which represents first years' rental charge. There is no option to extend the contract nor there is an option to purchase the asset by the lessee. The lessor's assessment is that this arrangement represents an operating lease. The lessor incurs £5k of initial direct costs to a third party to establish the lease. The interest rate implicit in the contract is 5%. On 31st March 2029 both parties agree to terminate the lease agreement with an immediate effect. </t>
  </si>
  <si>
    <t>The underlying asset is depreciated by the lessor on a straight line basis over 50 years. At the commencement of the lease lessor increases the carrying value of the underlying asset by the initial direct costs</t>
  </si>
  <si>
    <t xml:space="preserve">and expenses them over term of the lease (10 years) </t>
  </si>
  <si>
    <t>Depreciation on underlying asset</t>
  </si>
  <si>
    <t>Depreciation on initial direct costs</t>
  </si>
  <si>
    <r>
      <t xml:space="preserve">Additions (direct costs)- </t>
    </r>
    <r>
      <rPr>
        <sz val="11"/>
        <color rgb="FFFF0000"/>
        <rFont val="Calibri"/>
        <family val="2"/>
        <scheme val="minor"/>
      </rPr>
      <t>note 4</t>
    </r>
  </si>
  <si>
    <t>Derecognition of right of use asset</t>
  </si>
  <si>
    <t>Derecognition of lease liabiltiy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</si>
</sst>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quot;-&quot;"/>
    <numFmt numFmtId="166" formatCode="#,##0;[Red]\(#,##0\)"/>
    <numFmt numFmtId="167" formatCode="_-* #,##0_-;\-* #,##0_-;_-* &quot;-&quot;??_-;_-@_-"/>
  </numFmts>
  <fonts count="16" x14ac:knownFonts="1">
    <font>
      <sz val="11"/>
      <color theme="1"/>
      <name val="Calibri"/>
      <family val="2"/>
      <scheme val="minor"/>
    </font>
    <font>
      <b/>
      <sz val="11"/>
      <color theme="1"/>
      <name val="Calibri"/>
      <family val="2"/>
      <scheme val="minor"/>
    </font>
    <font>
      <b/>
      <sz val="11"/>
      <color theme="1"/>
      <name val="Calibri"/>
      <family val="2"/>
      <charset val="238"/>
      <scheme val="minor"/>
    </font>
    <font>
      <b/>
      <u/>
      <sz val="11"/>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12"/>
      <color theme="1"/>
      <name val="Calibri"/>
      <family val="2"/>
      <scheme val="minor"/>
    </font>
    <font>
      <sz val="10"/>
      <color rgb="FFFF0000"/>
      <name val="Calibri"/>
      <family val="2"/>
      <scheme val="minor"/>
    </font>
    <font>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top style="double">
        <color auto="1"/>
      </top>
      <bottom/>
      <diagonal/>
    </border>
    <border>
      <left/>
      <right/>
      <top style="double">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42">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166" fontId="0" fillId="0" borderId="0" xfId="0" applyNumberFormat="1" applyAlignment="1">
      <alignment horizontal="center"/>
    </xf>
    <xf numFmtId="0" fontId="0" fillId="2" borderId="0" xfId="0" applyFill="1" applyAlignment="1">
      <alignment horizontal="left"/>
    </xf>
    <xf numFmtId="0" fontId="0" fillId="0" borderId="0" xfId="0" applyAlignment="1">
      <alignment horizontal="left" wrapText="1"/>
    </xf>
    <xf numFmtId="0" fontId="0" fillId="0" borderId="6" xfId="0" applyBorder="1" applyAlignment="1">
      <alignment horizontal="center"/>
    </xf>
    <xf numFmtId="0" fontId="0" fillId="0" borderId="7" xfId="0"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10" xfId="0" applyNumberFormat="1" applyBorder="1" applyAlignment="1">
      <alignment horizontal="center"/>
    </xf>
    <xf numFmtId="166" fontId="0" fillId="0" borderId="11" xfId="0" applyNumberFormat="1" applyBorder="1" applyAlignment="1">
      <alignment horizontal="center"/>
    </xf>
    <xf numFmtId="166" fontId="0" fillId="0" borderId="8" xfId="0" applyNumberFormat="1" applyBorder="1" applyAlignment="1">
      <alignment horizontal="center"/>
    </xf>
    <xf numFmtId="166" fontId="0" fillId="0" borderId="12" xfId="0" applyNumberFormat="1" applyBorder="1" applyAlignment="1">
      <alignment horizontal="center"/>
    </xf>
    <xf numFmtId="0" fontId="0" fillId="0" borderId="14" xfId="0" applyBorder="1" applyAlignment="1">
      <alignment horizontal="center"/>
    </xf>
    <xf numFmtId="166" fontId="0" fillId="0" borderId="14" xfId="0" applyNumberFormat="1" applyBorder="1" applyAlignment="1">
      <alignment horizontal="center"/>
    </xf>
    <xf numFmtId="3" fontId="0" fillId="0" borderId="7" xfId="0" applyNumberFormat="1" applyBorder="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9" fontId="0" fillId="2" borderId="0" xfId="0" applyNumberFormat="1" applyFill="1" applyAlignment="1">
      <alignment horizontal="center" vertical="top"/>
    </xf>
    <xf numFmtId="9" fontId="0" fillId="2" borderId="0" xfId="0" applyNumberFormat="1" applyFill="1" applyAlignment="1">
      <alignment horizontal="center"/>
    </xf>
    <xf numFmtId="0" fontId="0" fillId="0" borderId="4" xfId="0" applyBorder="1" applyAlignment="1">
      <alignment horizontal="center"/>
    </xf>
    <xf numFmtId="0" fontId="0" fillId="0" borderId="5" xfId="0" applyBorder="1" applyAlignment="1">
      <alignment horizontal="center"/>
    </xf>
    <xf numFmtId="166" fontId="0" fillId="0" borderId="5" xfId="0" applyNumberFormat="1" applyBorder="1" applyAlignment="1">
      <alignment horizontal="center"/>
    </xf>
    <xf numFmtId="166" fontId="0" fillId="0" borderId="15" xfId="0" applyNumberFormat="1" applyBorder="1" applyAlignment="1">
      <alignment horizontal="center"/>
    </xf>
    <xf numFmtId="0" fontId="3" fillId="0" borderId="0" xfId="0" applyFont="1" applyAlignment="1">
      <alignment horizontal="left"/>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4" borderId="0" xfId="0" applyFont="1" applyFill="1" applyAlignment="1">
      <alignment horizontal="center"/>
    </xf>
    <xf numFmtId="0" fontId="3" fillId="2" borderId="0" xfId="0" applyFont="1" applyFill="1" applyAlignment="1">
      <alignment horizontal="left"/>
    </xf>
    <xf numFmtId="3" fontId="9" fillId="0" borderId="22" xfId="0" applyNumberFormat="1" applyFont="1" applyBorder="1" applyAlignment="1">
      <alignment horizontal="center" vertical="top" wrapText="1"/>
    </xf>
    <xf numFmtId="3" fontId="9" fillId="0" borderId="21" xfId="0" applyNumberFormat="1" applyFont="1" applyBorder="1" applyAlignment="1">
      <alignment horizontal="center" vertical="top" wrapText="1"/>
    </xf>
    <xf numFmtId="3" fontId="9" fillId="0" borderId="23" xfId="0" applyNumberFormat="1" applyFont="1" applyBorder="1" applyAlignment="1">
      <alignment horizontal="center" vertical="top" wrapText="1"/>
    </xf>
    <xf numFmtId="3" fontId="8" fillId="0" borderId="27" xfId="0" applyNumberFormat="1" applyFont="1" applyBorder="1" applyAlignment="1">
      <alignment horizontal="right" vertical="top" wrapText="1"/>
    </xf>
    <xf numFmtId="0" fontId="0" fillId="0" borderId="25" xfId="0" applyBorder="1" applyAlignment="1">
      <alignment vertical="top"/>
    </xf>
    <xf numFmtId="3" fontId="8" fillId="0" borderId="25" xfId="0" applyNumberFormat="1" applyFont="1" applyBorder="1" applyAlignment="1">
      <alignment vertical="top" wrapText="1"/>
    </xf>
    <xf numFmtId="3" fontId="10" fillId="0" borderId="1" xfId="0" applyNumberFormat="1" applyFont="1" applyBorder="1" applyAlignment="1">
      <alignment vertical="top" wrapText="1"/>
    </xf>
    <xf numFmtId="3" fontId="10" fillId="4" borderId="1" xfId="0" applyNumberFormat="1" applyFont="1" applyFill="1" applyBorder="1" applyAlignment="1">
      <alignment horizontal="right" vertical="top" wrapText="1"/>
    </xf>
    <xf numFmtId="3" fontId="10" fillId="4" borderId="3" xfId="0" applyNumberFormat="1" applyFont="1" applyFill="1" applyBorder="1" applyAlignment="1">
      <alignment horizontal="right" vertical="top" wrapText="1"/>
    </xf>
    <xf numFmtId="3" fontId="10" fillId="4" borderId="2" xfId="0" applyNumberFormat="1" applyFont="1" applyFill="1" applyBorder="1" applyAlignment="1">
      <alignment horizontal="right" vertical="top" wrapText="1"/>
    </xf>
    <xf numFmtId="0" fontId="11" fillId="4" borderId="3" xfId="0" applyFont="1" applyFill="1" applyBorder="1" applyAlignment="1">
      <alignment vertical="top"/>
    </xf>
    <xf numFmtId="3" fontId="5" fillId="0" borderId="0" xfId="0" applyNumberFormat="1" applyFont="1" applyAlignment="1">
      <alignment vertical="top"/>
    </xf>
    <xf numFmtId="3" fontId="6" fillId="0" borderId="33" xfId="0" applyNumberFormat="1" applyFont="1" applyBorder="1" applyAlignment="1">
      <alignment vertical="top"/>
    </xf>
    <xf numFmtId="0" fontId="0" fillId="0" borderId="0" xfId="0" applyAlignment="1">
      <alignment vertical="top"/>
    </xf>
    <xf numFmtId="3" fontId="9" fillId="3" borderId="16" xfId="0" applyNumberFormat="1" applyFont="1" applyFill="1" applyBorder="1" applyAlignment="1">
      <alignment horizontal="center" vertical="top"/>
    </xf>
    <xf numFmtId="3" fontId="9" fillId="0" borderId="20" xfId="0" applyNumberFormat="1" applyFont="1" applyBorder="1" applyAlignment="1">
      <alignment vertical="center" wrapText="1"/>
    </xf>
    <xf numFmtId="0" fontId="1" fillId="0" borderId="0" xfId="0" applyFont="1"/>
    <xf numFmtId="164" fontId="0" fillId="0" borderId="0" xfId="0" applyNumberFormat="1" applyAlignment="1">
      <alignment horizontal="center"/>
    </xf>
    <xf numFmtId="164" fontId="1" fillId="0" borderId="0" xfId="0" applyNumberFormat="1" applyFont="1" applyAlignment="1">
      <alignment horizontal="right"/>
    </xf>
    <xf numFmtId="0" fontId="1" fillId="0" borderId="0" xfId="0" applyFont="1" applyAlignment="1">
      <alignment horizontal="right"/>
    </xf>
    <xf numFmtId="164" fontId="0" fillId="0" borderId="0" xfId="0" applyNumberFormat="1"/>
    <xf numFmtId="165" fontId="0" fillId="0" borderId="0" xfId="0" applyNumberFormat="1" applyAlignment="1">
      <alignment horizontal="right"/>
    </xf>
    <xf numFmtId="165" fontId="0" fillId="0" borderId="0" xfId="0" applyNumberFormat="1"/>
    <xf numFmtId="165" fontId="0" fillId="0" borderId="0" xfId="0" applyNumberFormat="1" applyAlignment="1">
      <alignment horizontal="center"/>
    </xf>
    <xf numFmtId="3" fontId="1" fillId="0" borderId="0" xfId="0" applyNumberFormat="1" applyFont="1" applyAlignment="1">
      <alignment horizontal="left"/>
    </xf>
    <xf numFmtId="3" fontId="1" fillId="0" borderId="0" xfId="0" applyNumberFormat="1" applyFont="1"/>
    <xf numFmtId="3" fontId="0" fillId="0" borderId="0" xfId="0" applyNumberFormat="1"/>
    <xf numFmtId="3" fontId="0" fillId="0" borderId="0" xfId="0" applyNumberFormat="1" applyAlignment="1">
      <alignment horizontal="left"/>
    </xf>
    <xf numFmtId="49" fontId="0" fillId="0" borderId="0" xfId="1" applyNumberFormat="1" applyFont="1" applyFill="1"/>
    <xf numFmtId="165" fontId="0" fillId="0" borderId="0" xfId="0" applyNumberFormat="1" applyAlignment="1">
      <alignment horizontal="left"/>
    </xf>
    <xf numFmtId="165" fontId="0" fillId="2" borderId="0" xfId="0" applyNumberFormat="1" applyFill="1" applyAlignment="1">
      <alignment horizontal="center"/>
    </xf>
    <xf numFmtId="14" fontId="0" fillId="2" borderId="0" xfId="0" applyNumberFormat="1" applyFill="1" applyAlignment="1">
      <alignment horizontal="center"/>
    </xf>
    <xf numFmtId="14" fontId="0" fillId="2" borderId="0" xfId="0" applyNumberFormat="1" applyFill="1" applyAlignment="1">
      <alignment horizontal="left"/>
    </xf>
    <xf numFmtId="167" fontId="0" fillId="0" borderId="0" xfId="0" applyNumberFormat="1" applyAlignment="1">
      <alignment horizontal="center"/>
    </xf>
    <xf numFmtId="165" fontId="8" fillId="0" borderId="27" xfId="0" applyNumberFormat="1" applyFont="1" applyBorder="1" applyAlignment="1">
      <alignment horizontal="right" vertical="top" wrapText="1"/>
    </xf>
    <xf numFmtId="165" fontId="8" fillId="0" borderId="26" xfId="0" applyNumberFormat="1" applyFont="1" applyBorder="1" applyAlignment="1">
      <alignment horizontal="right" vertical="top" wrapText="1"/>
    </xf>
    <xf numFmtId="165" fontId="8" fillId="0" borderId="29" xfId="0" applyNumberFormat="1" applyFont="1" applyBorder="1" applyAlignment="1">
      <alignment horizontal="right" vertical="top" wrapText="1"/>
    </xf>
    <xf numFmtId="0" fontId="1" fillId="0" borderId="24" xfId="0" applyFont="1" applyBorder="1" applyAlignment="1">
      <alignment horizontal="center" vertical="top" wrapText="1"/>
    </xf>
    <xf numFmtId="9" fontId="0" fillId="0" borderId="0" xfId="2" applyFont="1" applyFill="1"/>
    <xf numFmtId="3" fontId="9" fillId="0" borderId="24" xfId="0" applyNumberFormat="1" applyFont="1" applyBorder="1" applyAlignment="1">
      <alignment vertical="center" wrapText="1"/>
    </xf>
    <xf numFmtId="3" fontId="9" fillId="0" borderId="40" xfId="0" applyNumberFormat="1" applyFont="1" applyBorder="1" applyAlignment="1">
      <alignment horizontal="center" vertical="center" wrapText="1"/>
    </xf>
    <xf numFmtId="3" fontId="9" fillId="0" borderId="29" xfId="0" applyNumberFormat="1" applyFont="1" applyBorder="1" applyAlignment="1">
      <alignment horizontal="center" vertical="center" wrapText="1"/>
    </xf>
    <xf numFmtId="3" fontId="9" fillId="0" borderId="41" xfId="0" applyNumberFormat="1" applyFont="1" applyBorder="1" applyAlignment="1">
      <alignment horizontal="center" vertical="center" wrapText="1"/>
    </xf>
    <xf numFmtId="3" fontId="9" fillId="0" borderId="27" xfId="0" applyNumberFormat="1" applyFont="1" applyBorder="1" applyAlignment="1">
      <alignment horizontal="center" vertical="top" wrapText="1"/>
    </xf>
    <xf numFmtId="3" fontId="9" fillId="0" borderId="26" xfId="0" applyNumberFormat="1" applyFont="1" applyBorder="1" applyAlignment="1">
      <alignment horizontal="center" vertical="top" wrapText="1"/>
    </xf>
    <xf numFmtId="165" fontId="8" fillId="0" borderId="40" xfId="0" applyNumberFormat="1" applyFont="1" applyBorder="1" applyAlignment="1">
      <alignment horizontal="right" vertical="top" wrapText="1"/>
    </xf>
    <xf numFmtId="165" fontId="8" fillId="0" borderId="42" xfId="0" applyNumberFormat="1" applyFont="1" applyBorder="1" applyAlignment="1">
      <alignment horizontal="right" vertical="top" wrapText="1"/>
    </xf>
    <xf numFmtId="165" fontId="8" fillId="0" borderId="43" xfId="0" applyNumberFormat="1" applyFont="1" applyBorder="1" applyAlignment="1">
      <alignment horizontal="right" vertical="top" wrapText="1"/>
    </xf>
    <xf numFmtId="165" fontId="8" fillId="0" borderId="28" xfId="0" applyNumberFormat="1" applyFont="1" applyBorder="1" applyAlignment="1">
      <alignment horizontal="right" vertical="top" wrapText="1"/>
    </xf>
    <xf numFmtId="165" fontId="9" fillId="0" borderId="29" xfId="0" applyNumberFormat="1" applyFont="1" applyBorder="1" applyAlignment="1">
      <alignment horizontal="right" vertical="top" wrapText="1"/>
    </xf>
    <xf numFmtId="165" fontId="8" fillId="0" borderId="30" xfId="0" applyNumberFormat="1" applyFont="1" applyBorder="1" applyAlignment="1">
      <alignment horizontal="right" vertical="top" wrapText="1"/>
    </xf>
    <xf numFmtId="165" fontId="8" fillId="0" borderId="44" xfId="0" applyNumberFormat="1" applyFont="1" applyBorder="1" applyAlignment="1">
      <alignment horizontal="right" vertical="top" wrapText="1"/>
    </xf>
    <xf numFmtId="165" fontId="8" fillId="0" borderId="45" xfId="0" applyNumberFormat="1" applyFont="1" applyBorder="1" applyAlignment="1">
      <alignment horizontal="right" vertical="top" wrapText="1"/>
    </xf>
    <xf numFmtId="165" fontId="10" fillId="0" borderId="32" xfId="0" applyNumberFormat="1" applyFont="1" applyBorder="1" applyAlignment="1">
      <alignment horizontal="right" vertical="top" wrapText="1"/>
    </xf>
    <xf numFmtId="165" fontId="9" fillId="0" borderId="26" xfId="0" applyNumberFormat="1" applyFont="1" applyBorder="1" applyAlignment="1">
      <alignment horizontal="center" vertical="top" wrapText="1"/>
    </xf>
    <xf numFmtId="165" fontId="9" fillId="0" borderId="42" xfId="0" applyNumberFormat="1" applyFont="1" applyBorder="1" applyAlignment="1">
      <alignment horizontal="center" vertical="top" wrapText="1"/>
    </xf>
    <xf numFmtId="165" fontId="9" fillId="0" borderId="27" xfId="0" applyNumberFormat="1" applyFont="1" applyBorder="1" applyAlignment="1">
      <alignment horizontal="center" vertical="top" wrapText="1"/>
    </xf>
    <xf numFmtId="165" fontId="8" fillId="0" borderId="34" xfId="0" applyNumberFormat="1" applyFont="1" applyBorder="1" applyAlignment="1">
      <alignment horizontal="right" vertical="top" wrapText="1"/>
    </xf>
    <xf numFmtId="165" fontId="10" fillId="0" borderId="31" xfId="0" applyNumberFormat="1" applyFont="1" applyBorder="1" applyAlignment="1">
      <alignment horizontal="right" vertical="top" wrapText="1"/>
    </xf>
    <xf numFmtId="165" fontId="10" fillId="0" borderId="1" xfId="0" applyNumberFormat="1" applyFont="1" applyBorder="1" applyAlignment="1">
      <alignment horizontal="right" vertical="top" wrapText="1"/>
    </xf>
    <xf numFmtId="0" fontId="1" fillId="2" borderId="0" xfId="0" applyFont="1" applyFill="1" applyAlignment="1">
      <alignment horizontal="left"/>
    </xf>
    <xf numFmtId="49" fontId="6" fillId="0" borderId="0" xfId="1" applyNumberFormat="1" applyFont="1" applyFill="1"/>
    <xf numFmtId="0" fontId="0" fillId="0" borderId="29" xfId="0" applyBorder="1"/>
    <xf numFmtId="9" fontId="0" fillId="0" borderId="0" xfId="0" applyNumberFormat="1"/>
    <xf numFmtId="165" fontId="1" fillId="0" borderId="0" xfId="0" applyNumberFormat="1" applyFont="1" applyAlignment="1">
      <alignment horizontal="center"/>
    </xf>
    <xf numFmtId="3" fontId="9" fillId="0" borderId="36" xfId="0" applyNumberFormat="1" applyFont="1" applyBorder="1" applyAlignment="1">
      <alignment horizontal="center" vertical="top" wrapText="1"/>
    </xf>
    <xf numFmtId="3" fontId="9" fillId="0" borderId="46" xfId="0" applyNumberFormat="1" applyFont="1" applyBorder="1" applyAlignment="1">
      <alignment horizontal="center" vertical="top" wrapText="1"/>
    </xf>
    <xf numFmtId="3" fontId="8" fillId="0" borderId="46" xfId="0" applyNumberFormat="1" applyFont="1" applyBorder="1" applyAlignment="1">
      <alignment horizontal="right" vertical="top" wrapText="1"/>
    </xf>
    <xf numFmtId="165" fontId="1" fillId="0" borderId="0" xfId="0" applyNumberFormat="1" applyFont="1"/>
    <xf numFmtId="0" fontId="3" fillId="2" borderId="0" xfId="0" applyFont="1" applyFill="1" applyAlignment="1">
      <alignment horizontal="left" vertical="top" wrapText="1"/>
    </xf>
    <xf numFmtId="0" fontId="12" fillId="0" borderId="0" xfId="0" applyFont="1" applyAlignment="1">
      <alignment horizontal="left"/>
    </xf>
    <xf numFmtId="0" fontId="1" fillId="5" borderId="41" xfId="0" applyFont="1" applyFill="1" applyBorder="1" applyAlignment="1">
      <alignment horizontal="left"/>
    </xf>
    <xf numFmtId="0" fontId="0" fillId="5" borderId="47" xfId="0" applyFill="1" applyBorder="1" applyAlignment="1">
      <alignment horizontal="center"/>
    </xf>
    <xf numFmtId="164" fontId="0" fillId="5" borderId="47" xfId="0" applyNumberFormat="1" applyFill="1" applyBorder="1" applyAlignment="1">
      <alignment horizontal="center"/>
    </xf>
    <xf numFmtId="0" fontId="0" fillId="5" borderId="47" xfId="0" applyFill="1" applyBorder="1"/>
    <xf numFmtId="0" fontId="0" fillId="5" borderId="48" xfId="0" applyFill="1" applyBorder="1" applyAlignment="1">
      <alignment horizontal="left"/>
    </xf>
    <xf numFmtId="0" fontId="1" fillId="2" borderId="49" xfId="0" applyFont="1" applyFill="1" applyBorder="1" applyAlignment="1">
      <alignment horizontal="left"/>
    </xf>
    <xf numFmtId="0" fontId="0" fillId="2" borderId="50" xfId="0" applyFill="1" applyBorder="1" applyAlignment="1">
      <alignment horizontal="center"/>
    </xf>
    <xf numFmtId="164" fontId="0" fillId="2" borderId="50" xfId="0" applyNumberFormat="1" applyFill="1" applyBorder="1" applyAlignment="1">
      <alignment horizontal="center"/>
    </xf>
    <xf numFmtId="0" fontId="0" fillId="2" borderId="50" xfId="0" applyFill="1" applyBorder="1"/>
    <xf numFmtId="0" fontId="0" fillId="2" borderId="51" xfId="0" applyFill="1" applyBorder="1" applyAlignment="1">
      <alignment horizontal="left"/>
    </xf>
    <xf numFmtId="0" fontId="0" fillId="2" borderId="52" xfId="0" applyFill="1" applyBorder="1" applyAlignment="1">
      <alignment horizontal="center"/>
    </xf>
    <xf numFmtId="0" fontId="3" fillId="2" borderId="53" xfId="0" applyFont="1" applyFill="1" applyBorder="1" applyAlignment="1">
      <alignment horizontal="left" vertical="top" wrapText="1"/>
    </xf>
    <xf numFmtId="0" fontId="0" fillId="2" borderId="53" xfId="0" applyFill="1" applyBorder="1" applyAlignment="1">
      <alignment horizontal="left"/>
    </xf>
    <xf numFmtId="0" fontId="0" fillId="2" borderId="52" xfId="0" applyFill="1" applyBorder="1" applyAlignment="1">
      <alignment horizontal="left"/>
    </xf>
    <xf numFmtId="0" fontId="3" fillId="2" borderId="43" xfId="0" applyFont="1" applyFill="1" applyBorder="1" applyAlignment="1">
      <alignment horizontal="left"/>
    </xf>
    <xf numFmtId="0" fontId="0" fillId="2" borderId="34" xfId="0" applyFill="1" applyBorder="1" applyAlignment="1">
      <alignment horizontal="left"/>
    </xf>
    <xf numFmtId="0" fontId="0" fillId="2" borderId="34" xfId="0" applyFill="1" applyBorder="1" applyAlignment="1">
      <alignment horizontal="center"/>
    </xf>
    <xf numFmtId="164" fontId="0" fillId="2" borderId="34" xfId="0" applyNumberFormat="1" applyFill="1" applyBorder="1" applyAlignment="1">
      <alignment horizontal="center"/>
    </xf>
    <xf numFmtId="0" fontId="0" fillId="2" borderId="34" xfId="0" applyFill="1" applyBorder="1"/>
    <xf numFmtId="0" fontId="0" fillId="2" borderId="46" xfId="0" applyFill="1" applyBorder="1" applyAlignment="1">
      <alignment horizontal="left"/>
    </xf>
    <xf numFmtId="164" fontId="0" fillId="5" borderId="48" xfId="0" applyNumberFormat="1" applyFill="1" applyBorder="1" applyAlignment="1">
      <alignment horizontal="center"/>
    </xf>
    <xf numFmtId="167" fontId="0" fillId="2" borderId="49" xfId="1" applyNumberFormat="1" applyFont="1" applyFill="1" applyBorder="1" applyAlignment="1">
      <alignment horizontal="right"/>
    </xf>
    <xf numFmtId="0" fontId="0" fillId="2" borderId="50" xfId="0" applyFill="1" applyBorder="1" applyAlignment="1">
      <alignment horizontal="left"/>
    </xf>
    <xf numFmtId="164" fontId="0" fillId="2" borderId="51" xfId="0" applyNumberFormat="1" applyFill="1" applyBorder="1" applyAlignment="1">
      <alignment horizontal="center"/>
    </xf>
    <xf numFmtId="165" fontId="0" fillId="2" borderId="52" xfId="1" applyNumberFormat="1" applyFont="1" applyFill="1" applyBorder="1" applyAlignment="1">
      <alignment horizontal="right"/>
    </xf>
    <xf numFmtId="164" fontId="0" fillId="2" borderId="53" xfId="0" applyNumberFormat="1" applyFill="1" applyBorder="1" applyAlignment="1">
      <alignment horizontal="center"/>
    </xf>
    <xf numFmtId="167" fontId="0" fillId="2" borderId="52" xfId="1" applyNumberFormat="1" applyFont="1" applyFill="1" applyBorder="1" applyAlignment="1">
      <alignment horizontal="right"/>
    </xf>
    <xf numFmtId="167" fontId="0" fillId="2" borderId="43" xfId="1" applyNumberFormat="1" applyFont="1" applyFill="1" applyBorder="1" applyAlignment="1">
      <alignment horizontal="right"/>
    </xf>
    <xf numFmtId="164" fontId="0" fillId="2" borderId="46" xfId="0" applyNumberFormat="1" applyFill="1" applyBorder="1" applyAlignment="1">
      <alignment horizontal="center"/>
    </xf>
    <xf numFmtId="165" fontId="0" fillId="2" borderId="49" xfId="0" applyNumberFormat="1" applyFill="1" applyBorder="1" applyAlignment="1">
      <alignment horizontal="right"/>
    </xf>
    <xf numFmtId="165" fontId="0" fillId="2" borderId="43" xfId="0" applyNumberFormat="1" applyFill="1" applyBorder="1" applyAlignment="1">
      <alignment horizontal="right"/>
    </xf>
    <xf numFmtId="0" fontId="0" fillId="5" borderId="48" xfId="0" applyFill="1" applyBorder="1" applyAlignment="1">
      <alignment horizontal="center"/>
    </xf>
    <xf numFmtId="0" fontId="0" fillId="2" borderId="49" xfId="0" applyFill="1" applyBorder="1"/>
    <xf numFmtId="0" fontId="1" fillId="2" borderId="50" xfId="0" applyFont="1" applyFill="1" applyBorder="1" applyAlignment="1">
      <alignment horizontal="center"/>
    </xf>
    <xf numFmtId="164" fontId="1" fillId="2" borderId="50" xfId="0" applyNumberFormat="1" applyFont="1" applyFill="1" applyBorder="1" applyAlignment="1">
      <alignment horizontal="center"/>
    </xf>
    <xf numFmtId="0" fontId="1" fillId="2" borderId="51" xfId="0" applyFont="1" applyFill="1" applyBorder="1" applyAlignment="1">
      <alignment horizontal="center"/>
    </xf>
    <xf numFmtId="0" fontId="0" fillId="2" borderId="52" xfId="0" applyFill="1" applyBorder="1"/>
    <xf numFmtId="3" fontId="0" fillId="2" borderId="53" xfId="0" applyNumberFormat="1" applyFill="1" applyBorder="1" applyAlignment="1">
      <alignment horizontal="center"/>
    </xf>
    <xf numFmtId="3" fontId="0" fillId="2" borderId="46" xfId="0" applyNumberFormat="1" applyFill="1" applyBorder="1" applyAlignment="1">
      <alignment horizontal="center"/>
    </xf>
    <xf numFmtId="0" fontId="0" fillId="2" borderId="43" xfId="0" applyFill="1" applyBorder="1"/>
    <xf numFmtId="165" fontId="0" fillId="2" borderId="34" xfId="0" applyNumberFormat="1" applyFill="1" applyBorder="1" applyAlignment="1">
      <alignment horizontal="center"/>
    </xf>
    <xf numFmtId="14" fontId="0" fillId="2" borderId="34" xfId="0" applyNumberFormat="1" applyFill="1" applyBorder="1" applyAlignment="1">
      <alignment horizontal="center"/>
    </xf>
    <xf numFmtId="3" fontId="1" fillId="2" borderId="46" xfId="0" applyNumberFormat="1" applyFont="1" applyFill="1" applyBorder="1" applyAlignment="1">
      <alignment horizontal="center"/>
    </xf>
    <xf numFmtId="0" fontId="2" fillId="5" borderId="41" xfId="0" applyFont="1" applyFill="1" applyBorder="1"/>
    <xf numFmtId="0" fontId="1" fillId="0" borderId="49" xfId="0" applyFont="1" applyBorder="1" applyAlignment="1">
      <alignment horizontal="left"/>
    </xf>
    <xf numFmtId="0" fontId="0" fillId="0" borderId="50" xfId="0" applyBorder="1"/>
    <xf numFmtId="0" fontId="0" fillId="0" borderId="51" xfId="0" applyBorder="1"/>
    <xf numFmtId="3" fontId="1" fillId="0" borderId="52" xfId="0" applyNumberFormat="1" applyFont="1" applyBorder="1" applyAlignment="1">
      <alignment horizontal="left"/>
    </xf>
    <xf numFmtId="0" fontId="0" fillId="0" borderId="53" xfId="0" applyBorder="1"/>
    <xf numFmtId="0" fontId="0" fillId="0" borderId="52" xfId="0" applyBorder="1" applyAlignment="1">
      <alignment horizontal="center"/>
    </xf>
    <xf numFmtId="0" fontId="1" fillId="0" borderId="52" xfId="0" applyFont="1" applyBorder="1" applyAlignment="1">
      <alignment horizontal="right"/>
    </xf>
    <xf numFmtId="0" fontId="1" fillId="0" borderId="53" xfId="0" applyFont="1" applyBorder="1" applyAlignment="1">
      <alignment horizontal="right"/>
    </xf>
    <xf numFmtId="0" fontId="0" fillId="0" borderId="52" xfId="0" applyBorder="1" applyAlignment="1">
      <alignment horizontal="right"/>
    </xf>
    <xf numFmtId="165" fontId="0" fillId="0" borderId="53" xfId="0" applyNumberFormat="1" applyBorder="1" applyAlignment="1">
      <alignment horizontal="right"/>
    </xf>
    <xf numFmtId="0" fontId="0" fillId="0" borderId="43" xfId="0" applyBorder="1" applyAlignment="1">
      <alignment horizontal="right"/>
    </xf>
    <xf numFmtId="165" fontId="0" fillId="0" borderId="34" xfId="0" applyNumberFormat="1" applyBorder="1" applyAlignment="1">
      <alignment horizontal="right"/>
    </xf>
    <xf numFmtId="165" fontId="0" fillId="0" borderId="46" xfId="0" applyNumberFormat="1" applyBorder="1" applyAlignment="1">
      <alignment horizontal="right"/>
    </xf>
    <xf numFmtId="0" fontId="2" fillId="5" borderId="41" xfId="0" applyFont="1" applyFill="1" applyBorder="1" applyAlignment="1">
      <alignment horizontal="left"/>
    </xf>
    <xf numFmtId="0" fontId="0" fillId="5" borderId="47" xfId="0" applyFill="1" applyBorder="1" applyAlignment="1">
      <alignment horizontal="left"/>
    </xf>
    <xf numFmtId="0" fontId="0" fillId="5" borderId="48" xfId="0" applyFill="1" applyBorder="1"/>
    <xf numFmtId="0" fontId="1" fillId="0" borderId="50" xfId="0" applyFont="1" applyBorder="1"/>
    <xf numFmtId="0" fontId="0" fillId="0" borderId="52" xfId="0" applyBorder="1" applyAlignment="1">
      <alignment horizontal="left"/>
    </xf>
    <xf numFmtId="0" fontId="4" fillId="0" borderId="53" xfId="0" applyFont="1" applyBorder="1"/>
    <xf numFmtId="165" fontId="4" fillId="0" borderId="53" xfId="0" applyNumberFormat="1" applyFont="1" applyBorder="1"/>
    <xf numFmtId="165" fontId="0" fillId="0" borderId="34" xfId="0" applyNumberFormat="1" applyBorder="1"/>
    <xf numFmtId="165" fontId="4" fillId="0" borderId="46" xfId="0" applyNumberFormat="1" applyFont="1" applyBorder="1"/>
    <xf numFmtId="165" fontId="0" fillId="0" borderId="41" xfId="0" applyNumberFormat="1" applyBorder="1"/>
    <xf numFmtId="0" fontId="0" fillId="0" borderId="47" xfId="0" applyBorder="1"/>
    <xf numFmtId="0" fontId="0" fillId="0" borderId="48" xfId="0" applyBorder="1"/>
    <xf numFmtId="165" fontId="0" fillId="0" borderId="52" xfId="0" applyNumberFormat="1" applyBorder="1"/>
    <xf numFmtId="0" fontId="0" fillId="0" borderId="34" xfId="0" applyBorder="1"/>
    <xf numFmtId="0" fontId="0" fillId="0" borderId="46" xfId="0" applyBorder="1"/>
    <xf numFmtId="0" fontId="1" fillId="0" borderId="49" xfId="0" applyFont="1" applyBorder="1" applyAlignment="1">
      <alignment horizontal="right"/>
    </xf>
    <xf numFmtId="0" fontId="1" fillId="0" borderId="50" xfId="0" applyFont="1" applyBorder="1" applyAlignment="1">
      <alignment horizontal="center"/>
    </xf>
    <xf numFmtId="0" fontId="1" fillId="0" borderId="50" xfId="0" applyFont="1" applyBorder="1" applyAlignment="1">
      <alignment horizontal="left"/>
    </xf>
    <xf numFmtId="167" fontId="0" fillId="0" borderId="34" xfId="0" applyNumberFormat="1" applyBorder="1" applyAlignment="1">
      <alignment horizontal="center"/>
    </xf>
    <xf numFmtId="165" fontId="0" fillId="0" borderId="34" xfId="0" applyNumberFormat="1" applyBorder="1" applyAlignment="1">
      <alignment horizontal="center"/>
    </xf>
    <xf numFmtId="164" fontId="0" fillId="0" borderId="34" xfId="0" applyNumberFormat="1" applyBorder="1" applyAlignment="1">
      <alignment horizontal="center"/>
    </xf>
    <xf numFmtId="0" fontId="1" fillId="0" borderId="51" xfId="0" applyFont="1" applyBorder="1" applyAlignment="1">
      <alignment horizontal="center"/>
    </xf>
    <xf numFmtId="3" fontId="0" fillId="0" borderId="53" xfId="0" applyNumberFormat="1" applyBorder="1" applyAlignment="1">
      <alignment horizontal="center"/>
    </xf>
    <xf numFmtId="3" fontId="0" fillId="0" borderId="46" xfId="0" applyNumberFormat="1" applyBorder="1" applyAlignment="1">
      <alignment horizontal="center"/>
    </xf>
    <xf numFmtId="0" fontId="0" fillId="0" borderId="53" xfId="0" applyBorder="1" applyAlignment="1">
      <alignment horizontal="left"/>
    </xf>
    <xf numFmtId="164" fontId="0" fillId="0" borderId="0" xfId="0" applyNumberFormat="1" applyAlignment="1">
      <alignment horizontal="left"/>
    </xf>
    <xf numFmtId="164" fontId="13" fillId="2" borderId="0" xfId="0" applyNumberFormat="1" applyFont="1" applyFill="1" applyAlignment="1">
      <alignment horizontal="left"/>
    </xf>
    <xf numFmtId="0" fontId="14" fillId="0" borderId="0" xfId="0" applyFont="1"/>
    <xf numFmtId="0" fontId="14" fillId="0" borderId="0" xfId="0" applyFont="1" applyAlignment="1">
      <alignment horizontal="left"/>
    </xf>
    <xf numFmtId="0" fontId="11" fillId="0" borderId="0" xfId="0" applyFont="1" applyAlignment="1">
      <alignment horizontal="left"/>
    </xf>
    <xf numFmtId="0" fontId="1" fillId="0" borderId="52" xfId="0" applyFont="1" applyBorder="1" applyAlignment="1">
      <alignment horizontal="left"/>
    </xf>
    <xf numFmtId="0" fontId="15" fillId="0" borderId="52" xfId="0" applyFont="1" applyBorder="1" applyAlignment="1">
      <alignment horizontal="left"/>
    </xf>
    <xf numFmtId="0" fontId="4" fillId="0" borderId="52" xfId="0" applyFont="1" applyBorder="1" applyAlignment="1">
      <alignment horizontal="left"/>
    </xf>
    <xf numFmtId="0" fontId="15" fillId="2" borderId="0" xfId="0" applyFont="1" applyFill="1" applyAlignment="1">
      <alignment horizontal="center"/>
    </xf>
    <xf numFmtId="0" fontId="0" fillId="2" borderId="49" xfId="0" applyFill="1" applyBorder="1" applyAlignment="1">
      <alignment horizontal="left"/>
    </xf>
    <xf numFmtId="0" fontId="0" fillId="2" borderId="43" xfId="0" applyFill="1" applyBorder="1" applyAlignment="1">
      <alignment horizontal="left"/>
    </xf>
    <xf numFmtId="9" fontId="0" fillId="2" borderId="46" xfId="0" applyNumberFormat="1" applyFill="1" applyBorder="1" applyAlignment="1">
      <alignment horizontal="center" vertical="top"/>
    </xf>
    <xf numFmtId="14" fontId="0" fillId="2" borderId="51" xfId="0" applyNumberFormat="1" applyFill="1" applyBorder="1" applyAlignment="1">
      <alignment horizontal="center"/>
    </xf>
    <xf numFmtId="0" fontId="0" fillId="2" borderId="0" xfId="1" applyNumberFormat="1" applyFont="1" applyFill="1" applyBorder="1" applyAlignment="1">
      <alignment horizontal="left"/>
    </xf>
    <xf numFmtId="3" fontId="1" fillId="2" borderId="0" xfId="0" applyNumberFormat="1" applyFont="1" applyFill="1" applyAlignment="1">
      <alignment horizontal="center"/>
    </xf>
    <xf numFmtId="9" fontId="13" fillId="2" borderId="0" xfId="0" applyNumberFormat="1" applyFont="1" applyFill="1" applyAlignment="1">
      <alignment horizontal="left"/>
    </xf>
    <xf numFmtId="3" fontId="1" fillId="0" borderId="49" xfId="0" applyNumberFormat="1" applyFont="1" applyBorder="1" applyAlignment="1">
      <alignment horizontal="left"/>
    </xf>
    <xf numFmtId="0" fontId="0" fillId="0" borderId="0" xfId="0" applyAlignment="1">
      <alignment horizontal="right"/>
    </xf>
    <xf numFmtId="14" fontId="0" fillId="6" borderId="0" xfId="0" applyNumberFormat="1" applyFill="1" applyAlignment="1">
      <alignment horizontal="left"/>
    </xf>
    <xf numFmtId="0" fontId="0" fillId="6" borderId="0" xfId="0" applyFill="1" applyAlignment="1">
      <alignment horizontal="left"/>
    </xf>
    <xf numFmtId="0" fontId="0" fillId="0" borderId="7" xfId="0" applyBorder="1"/>
    <xf numFmtId="165" fontId="10" fillId="0" borderId="16" xfId="0" applyNumberFormat="1" applyFont="1" applyBorder="1" applyAlignment="1">
      <alignment horizontal="right" vertical="top" wrapText="1"/>
    </xf>
    <xf numFmtId="3" fontId="0" fillId="2" borderId="0" xfId="0" applyNumberFormat="1" applyFill="1" applyAlignment="1">
      <alignment horizontal="center"/>
    </xf>
    <xf numFmtId="165" fontId="0" fillId="2" borderId="50" xfId="0" applyNumberFormat="1" applyFill="1" applyBorder="1" applyAlignment="1">
      <alignment horizontal="center"/>
    </xf>
    <xf numFmtId="14" fontId="0" fillId="2" borderId="50" xfId="0" applyNumberFormat="1" applyFill="1" applyBorder="1" applyAlignment="1">
      <alignment horizontal="center"/>
    </xf>
    <xf numFmtId="3" fontId="0" fillId="2" borderId="51" xfId="0" applyNumberFormat="1" applyFill="1" applyBorder="1" applyAlignment="1">
      <alignment horizontal="center"/>
    </xf>
    <xf numFmtId="0" fontId="1" fillId="0" borderId="50" xfId="0" applyFont="1" applyBorder="1" applyAlignment="1">
      <alignment horizontal="center" wrapText="1"/>
    </xf>
    <xf numFmtId="0" fontId="1" fillId="0" borderId="50" xfId="0" applyFont="1" applyBorder="1" applyAlignment="1">
      <alignment horizontal="right" wrapText="1"/>
    </xf>
    <xf numFmtId="165" fontId="8" fillId="0" borderId="29" xfId="0" applyNumberFormat="1" applyFont="1" applyFill="1" applyBorder="1" applyAlignment="1">
      <alignment horizontal="right" vertical="top" wrapText="1"/>
    </xf>
    <xf numFmtId="0" fontId="3" fillId="2" borderId="52" xfId="0" applyFont="1" applyFill="1" applyBorder="1" applyAlignment="1">
      <alignment horizontal="left" vertical="top" wrapText="1"/>
    </xf>
    <xf numFmtId="0" fontId="3" fillId="2" borderId="0" xfId="0" applyFont="1" applyFill="1" applyAlignment="1">
      <alignment horizontal="left" vertical="top" wrapText="1"/>
    </xf>
    <xf numFmtId="0" fontId="3" fillId="2" borderId="53" xfId="0" applyFont="1" applyFill="1" applyBorder="1" applyAlignment="1">
      <alignment horizontal="left" vertical="top" wrapText="1"/>
    </xf>
    <xf numFmtId="0" fontId="0" fillId="2" borderId="41" xfId="0" applyFill="1" applyBorder="1" applyAlignment="1">
      <alignment horizontal="left" vertical="top" wrapText="1"/>
    </xf>
    <xf numFmtId="0" fontId="3" fillId="2" borderId="47" xfId="0" applyFont="1" applyFill="1" applyBorder="1" applyAlignment="1">
      <alignment horizontal="left" vertical="top" wrapText="1"/>
    </xf>
    <xf numFmtId="0" fontId="3" fillId="2" borderId="48" xfId="0" applyFont="1" applyFill="1" applyBorder="1" applyAlignment="1">
      <alignment horizontal="left" vertical="top" wrapText="1"/>
    </xf>
    <xf numFmtId="0" fontId="0" fillId="0" borderId="43" xfId="0" applyBorder="1" applyAlignment="1">
      <alignment horizontal="left" vertical="top" wrapText="1"/>
    </xf>
    <xf numFmtId="0" fontId="3" fillId="0" borderId="34" xfId="0" applyFont="1" applyBorder="1" applyAlignment="1">
      <alignment horizontal="left" vertical="top" wrapText="1"/>
    </xf>
    <xf numFmtId="0" fontId="3" fillId="0" borderId="46" xfId="0" applyFont="1" applyBorder="1" applyAlignment="1">
      <alignment horizontal="left" vertical="top" wrapText="1"/>
    </xf>
    <xf numFmtId="0" fontId="1" fillId="0" borderId="9" xfId="0" applyFont="1" applyBorder="1" applyAlignment="1">
      <alignment horizontal="left"/>
    </xf>
    <xf numFmtId="0" fontId="0" fillId="0" borderId="9" xfId="0" applyBorder="1" applyAlignment="1">
      <alignment horizontal="left"/>
    </xf>
    <xf numFmtId="3" fontId="9" fillId="0" borderId="2" xfId="0" applyNumberFormat="1" applyFont="1" applyBorder="1" applyAlignment="1">
      <alignment horizontal="center" vertical="top"/>
    </xf>
    <xf numFmtId="0" fontId="1" fillId="0" borderId="13" xfId="0" applyFont="1" applyBorder="1" applyAlignment="1">
      <alignment horizontal="center" vertical="top" wrapText="1"/>
    </xf>
    <xf numFmtId="0" fontId="1" fillId="0" borderId="24" xfId="0" applyFont="1" applyBorder="1" applyAlignment="1">
      <alignment horizontal="center" vertical="top" wrapText="1"/>
    </xf>
    <xf numFmtId="3" fontId="9" fillId="0" borderId="35" xfId="0" applyNumberFormat="1" applyFont="1" applyBorder="1" applyAlignment="1">
      <alignment horizontal="center" vertical="top" wrapText="1"/>
    </xf>
    <xf numFmtId="3" fontId="9" fillId="0" borderId="36" xfId="0" applyNumberFormat="1" applyFont="1" applyBorder="1" applyAlignment="1">
      <alignment horizontal="center" vertical="top" wrapText="1"/>
    </xf>
    <xf numFmtId="3" fontId="9" fillId="0" borderId="37" xfId="0" applyNumberFormat="1" applyFont="1" applyBorder="1" applyAlignment="1">
      <alignment horizontal="center" vertical="top" wrapText="1"/>
    </xf>
    <xf numFmtId="3" fontId="9" fillId="0" borderId="38" xfId="0" applyNumberFormat="1" applyFont="1" applyBorder="1" applyAlignment="1">
      <alignment horizontal="center" vertical="top" wrapText="1"/>
    </xf>
    <xf numFmtId="3" fontId="9" fillId="0" borderId="39" xfId="0" applyNumberFormat="1" applyFont="1" applyBorder="1" applyAlignment="1">
      <alignment horizontal="center" vertical="top" wrapText="1"/>
    </xf>
    <xf numFmtId="3" fontId="9" fillId="0" borderId="1" xfId="0" applyNumberFormat="1" applyFont="1" applyBorder="1" applyAlignment="1">
      <alignment horizontal="center" vertical="top"/>
    </xf>
    <xf numFmtId="3" fontId="9" fillId="0" borderId="3" xfId="0" applyNumberFormat="1" applyFont="1" applyBorder="1" applyAlignment="1">
      <alignment horizontal="center" vertical="top"/>
    </xf>
    <xf numFmtId="3" fontId="9" fillId="0" borderId="17" xfId="0" applyNumberFormat="1" applyFont="1" applyBorder="1" applyAlignment="1">
      <alignment horizontal="center" vertical="top"/>
    </xf>
    <xf numFmtId="3" fontId="9" fillId="0" borderId="18" xfId="0" applyNumberFormat="1" applyFont="1" applyBorder="1" applyAlignment="1">
      <alignment horizontal="center" vertical="top"/>
    </xf>
    <xf numFmtId="3" fontId="9" fillId="0" borderId="19" xfId="0" applyNumberFormat="1" applyFont="1" applyBorder="1" applyAlignment="1">
      <alignment horizontal="center" vertical="top"/>
    </xf>
    <xf numFmtId="3" fontId="9" fillId="0" borderId="42" xfId="0" applyNumberFormat="1" applyFont="1" applyFill="1" applyBorder="1" applyAlignment="1">
      <alignment horizontal="center" vertical="top" wrapText="1"/>
    </xf>
    <xf numFmtId="165" fontId="9" fillId="0" borderId="29" xfId="0" applyNumberFormat="1" applyFont="1" applyFill="1" applyBorder="1" applyAlignment="1">
      <alignment horizontal="righ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8"/>
  <sheetViews>
    <sheetView showGridLines="0" tabSelected="1" zoomScale="85" zoomScaleNormal="85" workbookViewId="0">
      <selection activeCell="A4" sqref="A4:J4"/>
    </sheetView>
  </sheetViews>
  <sheetFormatPr defaultColWidth="8.88671875" defaultRowHeight="14.4" x14ac:dyDescent="0.3"/>
  <cols>
    <col min="1" max="1" width="11.88671875" style="1" customWidth="1"/>
    <col min="2" max="2" width="19.88671875" style="20" customWidth="1"/>
    <col min="3" max="3" width="49.21875" style="20" customWidth="1"/>
    <col min="4" max="4" width="22.21875" style="21" bestFit="1" customWidth="1"/>
    <col min="5" max="5" width="18.88671875" style="20" customWidth="1"/>
    <col min="6" max="6" width="15" style="20" bestFit="1" customWidth="1"/>
    <col min="7" max="7" width="15.109375" style="1" bestFit="1" customWidth="1"/>
    <col min="8" max="8" width="11.88671875" style="1" customWidth="1"/>
    <col min="9" max="9" width="14.21875" style="1" customWidth="1"/>
    <col min="10" max="10" width="36.109375" style="7" customWidth="1"/>
    <col min="11" max="11" width="20.6640625" style="1" customWidth="1"/>
    <col min="12" max="12" width="15.33203125" style="1" customWidth="1"/>
    <col min="13" max="13" width="19.21875" style="1" bestFit="1" customWidth="1"/>
    <col min="14" max="16384" width="8.88671875" style="1"/>
  </cols>
  <sheetData>
    <row r="1" spans="1:10" x14ac:dyDescent="0.3">
      <c r="A1" s="33" t="s">
        <v>0</v>
      </c>
      <c r="D1" s="1"/>
      <c r="E1" s="1"/>
      <c r="F1" s="1"/>
    </row>
    <row r="2" spans="1:10" x14ac:dyDescent="0.3">
      <c r="A2" s="33"/>
    </row>
    <row r="3" spans="1:10" x14ac:dyDescent="0.3">
      <c r="A3" s="105" t="s">
        <v>1</v>
      </c>
      <c r="B3" s="106"/>
      <c r="C3" s="106"/>
      <c r="D3" s="107"/>
      <c r="E3" s="106"/>
      <c r="F3" s="106"/>
      <c r="G3" s="108"/>
      <c r="H3" s="108"/>
      <c r="I3" s="108"/>
      <c r="J3" s="109"/>
    </row>
    <row r="4" spans="1:10" ht="47.4" customHeight="1" x14ac:dyDescent="0.3">
      <c r="A4" s="219" t="s">
        <v>209</v>
      </c>
      <c r="B4" s="220"/>
      <c r="C4" s="220"/>
      <c r="D4" s="220"/>
      <c r="E4" s="220"/>
      <c r="F4" s="220"/>
      <c r="G4" s="220"/>
      <c r="H4" s="220"/>
      <c r="I4" s="220"/>
      <c r="J4" s="221"/>
    </row>
    <row r="5" spans="1:10" x14ac:dyDescent="0.3">
      <c r="A5" s="33"/>
    </row>
    <row r="6" spans="1:10" ht="15.6" customHeight="1" x14ac:dyDescent="0.3">
      <c r="A6" s="105" t="s">
        <v>2</v>
      </c>
      <c r="B6" s="106"/>
      <c r="C6" s="106"/>
      <c r="D6" s="107"/>
      <c r="E6" s="106"/>
      <c r="F6" s="106"/>
      <c r="G6" s="108"/>
      <c r="H6" s="108"/>
      <c r="I6" s="108"/>
      <c r="J6" s="109"/>
    </row>
    <row r="7" spans="1:10" ht="15.6" customHeight="1" x14ac:dyDescent="0.3">
      <c r="A7" s="192"/>
      <c r="B7" s="4"/>
      <c r="C7" s="4"/>
      <c r="D7" s="51"/>
      <c r="E7" s="4"/>
      <c r="F7" s="4"/>
      <c r="G7"/>
      <c r="H7"/>
      <c r="I7"/>
      <c r="J7" s="186"/>
    </row>
    <row r="8" spans="1:10" ht="15.6" customHeight="1" x14ac:dyDescent="0.3">
      <c r="A8" s="166" t="s">
        <v>3</v>
      </c>
      <c r="B8" s="4"/>
      <c r="C8" s="4"/>
      <c r="D8" s="51"/>
      <c r="E8" s="4"/>
      <c r="F8" s="4"/>
      <c r="G8"/>
      <c r="H8"/>
      <c r="I8"/>
      <c r="J8" s="186"/>
    </row>
    <row r="9" spans="1:10" ht="15.6" customHeight="1" x14ac:dyDescent="0.3">
      <c r="A9" s="166" t="s">
        <v>4</v>
      </c>
      <c r="B9" s="4"/>
      <c r="C9" s="4"/>
      <c r="D9" s="51"/>
      <c r="E9" s="4"/>
      <c r="F9" s="4"/>
      <c r="G9"/>
      <c r="H9"/>
      <c r="I9"/>
      <c r="J9" s="186"/>
    </row>
    <row r="10" spans="1:10" ht="15.6" customHeight="1" x14ac:dyDescent="0.3">
      <c r="A10" s="166"/>
      <c r="B10" s="4"/>
      <c r="C10" s="4"/>
      <c r="D10" s="51"/>
      <c r="E10" s="4"/>
      <c r="F10" s="4"/>
      <c r="G10"/>
      <c r="H10"/>
      <c r="I10"/>
      <c r="J10" s="186"/>
    </row>
    <row r="11" spans="1:10" ht="15.6" customHeight="1" x14ac:dyDescent="0.3">
      <c r="A11" s="166" t="s">
        <v>5</v>
      </c>
      <c r="B11" s="4"/>
      <c r="C11" s="4"/>
      <c r="D11" s="51"/>
      <c r="E11" s="4"/>
      <c r="F11" s="4"/>
      <c r="G11"/>
      <c r="H11"/>
      <c r="I11"/>
      <c r="J11" s="186"/>
    </row>
    <row r="12" spans="1:10" ht="15.6" customHeight="1" x14ac:dyDescent="0.3">
      <c r="A12" s="166" t="s">
        <v>6</v>
      </c>
      <c r="B12" s="4"/>
      <c r="C12" s="4"/>
      <c r="D12" s="51"/>
      <c r="E12" s="4"/>
      <c r="F12" s="4"/>
      <c r="G12"/>
      <c r="H12"/>
      <c r="I12"/>
      <c r="J12" s="186"/>
    </row>
    <row r="13" spans="1:10" ht="15.6" customHeight="1" x14ac:dyDescent="0.3">
      <c r="A13" s="166" t="s">
        <v>7</v>
      </c>
      <c r="B13" s="4"/>
      <c r="C13" s="4"/>
      <c r="D13" s="51"/>
      <c r="E13" s="4"/>
      <c r="F13" s="4"/>
      <c r="G13"/>
      <c r="H13"/>
      <c r="I13"/>
      <c r="J13" s="186"/>
    </row>
    <row r="14" spans="1:10" ht="15.6" customHeight="1" x14ac:dyDescent="0.3">
      <c r="A14" s="166"/>
      <c r="B14" s="4"/>
      <c r="C14" s="4"/>
      <c r="D14" s="51"/>
      <c r="E14" s="4"/>
      <c r="F14" s="4"/>
      <c r="G14"/>
      <c r="H14"/>
      <c r="I14"/>
      <c r="J14" s="186"/>
    </row>
    <row r="15" spans="1:10" ht="15.6" customHeight="1" x14ac:dyDescent="0.3">
      <c r="A15" s="192"/>
      <c r="B15" s="4"/>
      <c r="C15" s="4"/>
      <c r="D15" s="51"/>
      <c r="E15" s="4"/>
      <c r="F15" s="4"/>
      <c r="G15"/>
      <c r="H15"/>
      <c r="I15"/>
      <c r="J15" s="186"/>
    </row>
    <row r="16" spans="1:10" ht="15.6" customHeight="1" x14ac:dyDescent="0.3">
      <c r="A16" s="166" t="s">
        <v>8</v>
      </c>
      <c r="B16" s="4"/>
      <c r="C16" s="4"/>
      <c r="D16" s="51"/>
      <c r="E16" s="4"/>
      <c r="F16" s="4"/>
      <c r="G16"/>
      <c r="H16"/>
      <c r="I16"/>
      <c r="J16" s="186"/>
    </row>
    <row r="17" spans="1:10" ht="15.6" customHeight="1" x14ac:dyDescent="0.3">
      <c r="A17" s="193" t="s">
        <v>9</v>
      </c>
      <c r="B17" s="4"/>
      <c r="C17" s="4"/>
      <c r="D17" s="51"/>
      <c r="E17" s="4"/>
      <c r="F17" s="4"/>
      <c r="G17"/>
      <c r="H17"/>
      <c r="I17"/>
      <c r="J17" s="186"/>
    </row>
    <row r="18" spans="1:10" ht="15.6" customHeight="1" x14ac:dyDescent="0.3">
      <c r="A18" s="193"/>
      <c r="B18" s="4"/>
      <c r="C18" s="4"/>
      <c r="D18" s="51"/>
      <c r="E18" s="4"/>
      <c r="F18" s="4"/>
      <c r="G18"/>
      <c r="H18"/>
      <c r="I18"/>
      <c r="J18" s="186"/>
    </row>
    <row r="19" spans="1:10" ht="15.6" customHeight="1" x14ac:dyDescent="0.3">
      <c r="A19" s="154" t="s">
        <v>10</v>
      </c>
      <c r="B19" s="2" t="s">
        <v>11</v>
      </c>
      <c r="C19" s="4"/>
      <c r="D19" s="51"/>
      <c r="E19" s="4"/>
      <c r="F19" s="4"/>
      <c r="G19"/>
      <c r="H19"/>
      <c r="I19"/>
      <c r="J19" s="186"/>
    </row>
    <row r="20" spans="1:10" ht="15.6" customHeight="1" x14ac:dyDescent="0.3">
      <c r="A20" s="154" t="s">
        <v>12</v>
      </c>
      <c r="B20" s="2" t="s">
        <v>13</v>
      </c>
      <c r="C20" s="4"/>
      <c r="D20" s="51"/>
      <c r="E20" s="4"/>
      <c r="F20" s="4"/>
      <c r="G20"/>
      <c r="H20"/>
      <c r="I20"/>
      <c r="J20" s="186"/>
    </row>
    <row r="21" spans="1:10" ht="15.6" customHeight="1" x14ac:dyDescent="0.3">
      <c r="A21" s="154" t="s">
        <v>14</v>
      </c>
      <c r="B21" s="2" t="s">
        <v>15</v>
      </c>
      <c r="C21" s="4"/>
      <c r="D21" s="51"/>
      <c r="E21" s="4"/>
      <c r="F21" s="4"/>
      <c r="G21"/>
      <c r="H21"/>
      <c r="I21"/>
      <c r="J21" s="186"/>
    </row>
    <row r="22" spans="1:10" ht="15.6" customHeight="1" x14ac:dyDescent="0.3">
      <c r="A22" s="154" t="s">
        <v>16</v>
      </c>
      <c r="B22" s="2" t="s">
        <v>17</v>
      </c>
      <c r="C22" s="4"/>
      <c r="D22" s="51"/>
      <c r="E22" s="4"/>
      <c r="F22" s="4"/>
      <c r="G22"/>
      <c r="H22"/>
      <c r="I22"/>
      <c r="J22" s="186"/>
    </row>
    <row r="23" spans="1:10" ht="15.6" customHeight="1" x14ac:dyDescent="0.3">
      <c r="A23" s="154" t="s">
        <v>18</v>
      </c>
      <c r="B23" s="2" t="s">
        <v>19</v>
      </c>
      <c r="C23" s="4"/>
      <c r="D23" s="51"/>
      <c r="E23" s="4"/>
      <c r="F23" s="4"/>
      <c r="G23"/>
      <c r="H23"/>
      <c r="I23"/>
      <c r="J23" s="186"/>
    </row>
    <row r="24" spans="1:10" ht="15.6" customHeight="1" x14ac:dyDescent="0.3">
      <c r="A24" s="154" t="s">
        <v>20</v>
      </c>
      <c r="B24" s="2" t="s">
        <v>21</v>
      </c>
      <c r="C24" s="4"/>
      <c r="D24" s="51"/>
      <c r="E24" s="4"/>
      <c r="F24" s="4"/>
      <c r="G24"/>
      <c r="H24"/>
      <c r="I24"/>
      <c r="J24" s="186"/>
    </row>
    <row r="25" spans="1:10" ht="15.6" customHeight="1" x14ac:dyDescent="0.3">
      <c r="A25" s="154"/>
      <c r="B25" s="2"/>
      <c r="C25" s="4"/>
      <c r="D25" s="51"/>
      <c r="E25" s="4"/>
      <c r="F25" s="4"/>
      <c r="G25"/>
      <c r="H25"/>
      <c r="I25"/>
      <c r="J25" s="186"/>
    </row>
    <row r="26" spans="1:10" ht="15.6" customHeight="1" x14ac:dyDescent="0.3">
      <c r="A26" s="193" t="s">
        <v>22</v>
      </c>
      <c r="B26" s="4"/>
      <c r="C26" s="4"/>
      <c r="D26" s="51"/>
      <c r="E26" s="4"/>
      <c r="F26" s="4"/>
      <c r="G26"/>
      <c r="H26"/>
      <c r="I26"/>
      <c r="J26" s="186"/>
    </row>
    <row r="27" spans="1:10" ht="15.6" customHeight="1" x14ac:dyDescent="0.3">
      <c r="A27" s="193"/>
      <c r="B27" s="4"/>
      <c r="C27" s="4"/>
      <c r="D27" s="51"/>
      <c r="E27" s="4"/>
      <c r="F27" s="4"/>
      <c r="G27"/>
      <c r="H27"/>
      <c r="I27"/>
      <c r="J27" s="186"/>
    </row>
    <row r="28" spans="1:10" ht="15.6" customHeight="1" x14ac:dyDescent="0.3">
      <c r="A28" s="154" t="s">
        <v>23</v>
      </c>
      <c r="B28" s="2" t="s">
        <v>24</v>
      </c>
      <c r="C28" s="4"/>
      <c r="D28" s="51"/>
      <c r="E28" s="4"/>
      <c r="F28" s="4"/>
      <c r="G28"/>
      <c r="H28"/>
      <c r="I28"/>
      <c r="J28" s="186"/>
    </row>
    <row r="29" spans="1:10" ht="15.6" customHeight="1" x14ac:dyDescent="0.3">
      <c r="A29" s="154" t="s">
        <v>25</v>
      </c>
      <c r="B29" s="1" t="s">
        <v>26</v>
      </c>
      <c r="C29" s="4"/>
      <c r="D29" s="51"/>
      <c r="E29" s="4"/>
      <c r="F29" s="4"/>
      <c r="G29"/>
      <c r="H29"/>
      <c r="I29"/>
      <c r="J29" s="186"/>
    </row>
    <row r="30" spans="1:10" ht="15.6" customHeight="1" x14ac:dyDescent="0.3">
      <c r="A30" s="192"/>
      <c r="B30" s="4"/>
      <c r="C30" s="4"/>
      <c r="D30" s="51"/>
      <c r="E30" s="4"/>
      <c r="F30" s="4"/>
      <c r="G30"/>
      <c r="H30"/>
      <c r="I30"/>
      <c r="J30" s="186"/>
    </row>
    <row r="31" spans="1:10" ht="15.6" customHeight="1" x14ac:dyDescent="0.3">
      <c r="A31" s="194" t="s">
        <v>27</v>
      </c>
      <c r="B31" s="4"/>
      <c r="C31" s="4"/>
      <c r="D31" s="51"/>
      <c r="E31" s="4"/>
      <c r="F31" s="4"/>
      <c r="G31"/>
      <c r="H31"/>
      <c r="I31"/>
      <c r="J31" s="186"/>
    </row>
    <row r="32" spans="1:10" ht="15.6" customHeight="1" x14ac:dyDescent="0.3">
      <c r="A32" s="222"/>
      <c r="B32" s="223"/>
      <c r="C32" s="223"/>
      <c r="D32" s="223"/>
      <c r="E32" s="223"/>
      <c r="F32" s="223"/>
      <c r="G32" s="223"/>
      <c r="H32" s="223"/>
      <c r="I32" s="223"/>
      <c r="J32" s="224"/>
    </row>
    <row r="33" spans="1:10" x14ac:dyDescent="0.3">
      <c r="A33" s="33"/>
    </row>
    <row r="34" spans="1:10" x14ac:dyDescent="0.3">
      <c r="A34" s="33"/>
    </row>
    <row r="35" spans="1:10" ht="15" customHeight="1" x14ac:dyDescent="0.3">
      <c r="A35" s="110" t="s">
        <v>28</v>
      </c>
      <c r="B35" s="111"/>
      <c r="C35" s="111"/>
      <c r="D35" s="112"/>
      <c r="E35" s="111"/>
      <c r="F35" s="111"/>
      <c r="G35" s="113"/>
      <c r="H35" s="113"/>
      <c r="I35" s="113"/>
      <c r="J35" s="114"/>
    </row>
    <row r="36" spans="1:10" ht="12.3" customHeight="1" x14ac:dyDescent="0.3">
      <c r="A36" s="216"/>
      <c r="B36" s="217"/>
      <c r="C36" s="217"/>
      <c r="D36" s="217"/>
      <c r="E36" s="217"/>
      <c r="F36" s="217"/>
      <c r="G36" s="217"/>
      <c r="H36" s="217"/>
      <c r="I36" s="217"/>
      <c r="J36" s="218"/>
    </row>
    <row r="37" spans="1:10" ht="14.55" customHeight="1" x14ac:dyDescent="0.3">
      <c r="A37" s="115">
        <v>1</v>
      </c>
      <c r="B37" s="7" t="s">
        <v>29</v>
      </c>
      <c r="C37" s="103"/>
      <c r="D37" s="103"/>
      <c r="E37" s="103"/>
      <c r="F37" s="103"/>
      <c r="G37" s="103"/>
      <c r="H37" s="103"/>
      <c r="I37" s="103"/>
      <c r="J37" s="116"/>
    </row>
    <row r="38" spans="1:10" ht="14.55" customHeight="1" x14ac:dyDescent="0.3">
      <c r="A38" s="115">
        <v>2</v>
      </c>
      <c r="B38" s="7" t="s">
        <v>30</v>
      </c>
      <c r="J38" s="117"/>
    </row>
    <row r="39" spans="1:10" ht="14.55" customHeight="1" x14ac:dyDescent="0.3">
      <c r="A39" s="115"/>
      <c r="B39" s="7" t="s">
        <v>31</v>
      </c>
      <c r="J39" s="117"/>
    </row>
    <row r="40" spans="1:10" ht="14.55" customHeight="1" x14ac:dyDescent="0.3">
      <c r="A40" s="115">
        <v>3</v>
      </c>
      <c r="B40" s="7" t="s">
        <v>32</v>
      </c>
      <c r="J40" s="117"/>
    </row>
    <row r="41" spans="1:10" ht="14.55" customHeight="1" x14ac:dyDescent="0.3">
      <c r="A41" s="115">
        <v>4</v>
      </c>
      <c r="B41" s="7" t="s">
        <v>205</v>
      </c>
      <c r="J41" s="117"/>
    </row>
    <row r="42" spans="1:10" ht="14.55" customHeight="1" x14ac:dyDescent="0.3">
      <c r="A42" s="115">
        <v>5</v>
      </c>
      <c r="B42" s="7" t="s">
        <v>206</v>
      </c>
      <c r="J42" s="117"/>
    </row>
    <row r="43" spans="1:10" ht="14.55" customHeight="1" x14ac:dyDescent="0.3">
      <c r="A43" s="115">
        <v>6</v>
      </c>
      <c r="B43" s="7" t="s">
        <v>207</v>
      </c>
      <c r="J43" s="117"/>
    </row>
    <row r="44" spans="1:10" ht="14.55" customHeight="1" x14ac:dyDescent="0.3">
      <c r="A44" s="115">
        <v>7</v>
      </c>
      <c r="B44" s="7" t="s">
        <v>33</v>
      </c>
      <c r="J44" s="117"/>
    </row>
    <row r="45" spans="1:10" ht="14.55" customHeight="1" x14ac:dyDescent="0.3">
      <c r="A45" s="115"/>
      <c r="B45" s="7" t="s">
        <v>34</v>
      </c>
      <c r="J45" s="117"/>
    </row>
    <row r="46" spans="1:10" ht="14.55" customHeight="1" x14ac:dyDescent="0.3">
      <c r="A46" s="115">
        <v>8</v>
      </c>
      <c r="B46" s="7" t="s">
        <v>208</v>
      </c>
      <c r="J46" s="117"/>
    </row>
    <row r="47" spans="1:10" ht="14.55" customHeight="1" x14ac:dyDescent="0.3">
      <c r="A47" s="115">
        <v>9</v>
      </c>
      <c r="B47" s="2" t="s">
        <v>35</v>
      </c>
      <c r="C47"/>
      <c r="D47" s="51"/>
      <c r="E47" s="4"/>
      <c r="F47" s="4"/>
      <c r="G47"/>
      <c r="H47"/>
      <c r="I47"/>
      <c r="J47" s="186"/>
    </row>
    <row r="48" spans="1:10" ht="14.55" customHeight="1" x14ac:dyDescent="0.3">
      <c r="A48" s="115"/>
      <c r="B48" s="187" t="s">
        <v>36</v>
      </c>
      <c r="C48" s="2"/>
      <c r="D48"/>
      <c r="E48" s="4"/>
      <c r="F48" s="4"/>
      <c r="G48"/>
      <c r="H48"/>
      <c r="I48"/>
      <c r="J48" s="186"/>
    </row>
    <row r="49" spans="1:10" x14ac:dyDescent="0.3">
      <c r="A49" s="118"/>
      <c r="B49" s="7"/>
      <c r="J49" s="117"/>
    </row>
    <row r="50" spans="1:10" ht="9.75" customHeight="1" x14ac:dyDescent="0.3">
      <c r="A50" s="119"/>
      <c r="B50" s="120"/>
      <c r="C50" s="121"/>
      <c r="D50" s="122"/>
      <c r="E50" s="121"/>
      <c r="F50" s="121"/>
      <c r="G50" s="123"/>
      <c r="H50" s="123"/>
      <c r="I50" s="123"/>
      <c r="J50" s="124"/>
    </row>
    <row r="51" spans="1:10" x14ac:dyDescent="0.3">
      <c r="A51" s="33"/>
    </row>
    <row r="52" spans="1:10" x14ac:dyDescent="0.3">
      <c r="A52" s="195" t="s">
        <v>10</v>
      </c>
    </row>
    <row r="53" spans="1:10" x14ac:dyDescent="0.3">
      <c r="A53" s="33"/>
    </row>
    <row r="54" spans="1:10" x14ac:dyDescent="0.3">
      <c r="A54" s="7" t="s">
        <v>37</v>
      </c>
    </row>
    <row r="55" spans="1:10" x14ac:dyDescent="0.3">
      <c r="A55" s="7"/>
    </row>
    <row r="56" spans="1:10" x14ac:dyDescent="0.3">
      <c r="A56" s="196" t="s">
        <v>38</v>
      </c>
      <c r="B56" s="113"/>
      <c r="C56" s="199">
        <v>44652</v>
      </c>
      <c r="E56" s="1"/>
    </row>
    <row r="57" spans="1:10" x14ac:dyDescent="0.3">
      <c r="A57" s="197" t="s">
        <v>39</v>
      </c>
      <c r="B57" s="120"/>
      <c r="C57" s="198">
        <v>0.05</v>
      </c>
      <c r="D57" s="188" t="s">
        <v>40</v>
      </c>
    </row>
    <row r="58" spans="1:10" x14ac:dyDescent="0.3">
      <c r="A58" s="66"/>
      <c r="B58" s="7"/>
    </row>
    <row r="59" spans="1:10" x14ac:dyDescent="0.3">
      <c r="A59" s="195" t="s">
        <v>12</v>
      </c>
      <c r="B59" s="7"/>
    </row>
    <row r="60" spans="1:10" x14ac:dyDescent="0.3">
      <c r="A60" s="66"/>
      <c r="B60" s="7"/>
    </row>
    <row r="61" spans="1:10" x14ac:dyDescent="0.3">
      <c r="A61" s="200" t="s">
        <v>41</v>
      </c>
      <c r="E61" s="1"/>
    </row>
    <row r="62" spans="1:10" x14ac:dyDescent="0.3">
      <c r="A62" s="200" t="s">
        <v>42</v>
      </c>
      <c r="E62" s="1"/>
    </row>
    <row r="63" spans="1:10" x14ac:dyDescent="0.3">
      <c r="A63" s="66"/>
      <c r="B63" s="7"/>
    </row>
    <row r="64" spans="1:10" x14ac:dyDescent="0.3">
      <c r="A64" s="105" t="s">
        <v>43</v>
      </c>
      <c r="B64" s="108"/>
      <c r="C64" s="106"/>
      <c r="D64" s="107"/>
      <c r="E64" s="136"/>
    </row>
    <row r="65" spans="1:5" x14ac:dyDescent="0.3">
      <c r="A65" s="137"/>
      <c r="B65" s="138" t="s">
        <v>44</v>
      </c>
      <c r="C65" s="138" t="s">
        <v>45</v>
      </c>
      <c r="D65" s="139" t="s">
        <v>46</v>
      </c>
      <c r="E65" s="140" t="s">
        <v>47</v>
      </c>
    </row>
    <row r="66" spans="1:5" x14ac:dyDescent="0.3">
      <c r="A66" s="141">
        <v>0</v>
      </c>
      <c r="B66" s="209">
        <v>50000</v>
      </c>
      <c r="C66" s="65">
        <v>44652</v>
      </c>
      <c r="D66" s="21">
        <v>1</v>
      </c>
      <c r="E66" s="142">
        <v>50000</v>
      </c>
    </row>
    <row r="67" spans="1:5" x14ac:dyDescent="0.3">
      <c r="A67" s="137">
        <v>1</v>
      </c>
      <c r="B67" s="210">
        <v>50000</v>
      </c>
      <c r="C67" s="211">
        <v>45017</v>
      </c>
      <c r="D67" s="112">
        <f t="shared" ref="D67:D75" si="0">1/(1+$C$57)^A67</f>
        <v>0.95238095238095233</v>
      </c>
      <c r="E67" s="212">
        <f>B67*D67</f>
        <v>47619.047619047618</v>
      </c>
    </row>
    <row r="68" spans="1:5" x14ac:dyDescent="0.3">
      <c r="A68" s="141">
        <f>A67+1</f>
        <v>2</v>
      </c>
      <c r="B68" s="64">
        <v>50000</v>
      </c>
      <c r="C68" s="65">
        <v>45383</v>
      </c>
      <c r="D68" s="21">
        <f t="shared" si="0"/>
        <v>0.90702947845804982</v>
      </c>
      <c r="E68" s="142">
        <f t="shared" ref="E68:E75" si="1">B68*D68</f>
        <v>45351.473922902493</v>
      </c>
    </row>
    <row r="69" spans="1:5" x14ac:dyDescent="0.3">
      <c r="A69" s="141">
        <f t="shared" ref="A69:A75" si="2">A68+1</f>
        <v>3</v>
      </c>
      <c r="B69" s="64">
        <v>50000</v>
      </c>
      <c r="C69" s="65">
        <v>45748</v>
      </c>
      <c r="D69" s="21">
        <f t="shared" si="0"/>
        <v>0.86383759853147601</v>
      </c>
      <c r="E69" s="142">
        <f t="shared" si="1"/>
        <v>43191.879926573798</v>
      </c>
    </row>
    <row r="70" spans="1:5" x14ac:dyDescent="0.3">
      <c r="A70" s="141">
        <f t="shared" si="2"/>
        <v>4</v>
      </c>
      <c r="B70" s="64">
        <v>50000</v>
      </c>
      <c r="C70" s="65">
        <v>46113</v>
      </c>
      <c r="D70" s="21">
        <f t="shared" si="0"/>
        <v>0.82270247479188197</v>
      </c>
      <c r="E70" s="142">
        <f t="shared" si="1"/>
        <v>41135.123739594099</v>
      </c>
    </row>
    <row r="71" spans="1:5" x14ac:dyDescent="0.3">
      <c r="A71" s="141">
        <f t="shared" si="2"/>
        <v>5</v>
      </c>
      <c r="B71" s="64">
        <v>50000</v>
      </c>
      <c r="C71" s="65">
        <v>46478</v>
      </c>
      <c r="D71" s="21">
        <f t="shared" si="0"/>
        <v>0.78352616646845896</v>
      </c>
      <c r="E71" s="142">
        <f t="shared" si="1"/>
        <v>39176.308323422949</v>
      </c>
    </row>
    <row r="72" spans="1:5" x14ac:dyDescent="0.3">
      <c r="A72" s="141">
        <f t="shared" si="2"/>
        <v>6</v>
      </c>
      <c r="B72" s="64">
        <v>50000</v>
      </c>
      <c r="C72" s="65">
        <v>46844</v>
      </c>
      <c r="D72" s="21">
        <f t="shared" si="0"/>
        <v>0.74621539663662761</v>
      </c>
      <c r="E72" s="142">
        <f t="shared" si="1"/>
        <v>37310.769831831378</v>
      </c>
    </row>
    <row r="73" spans="1:5" x14ac:dyDescent="0.3">
      <c r="A73" s="141">
        <f t="shared" si="2"/>
        <v>7</v>
      </c>
      <c r="B73" s="64">
        <v>50000</v>
      </c>
      <c r="C73" s="65">
        <v>47209</v>
      </c>
      <c r="D73" s="21">
        <f t="shared" si="0"/>
        <v>0.71068133013012147</v>
      </c>
      <c r="E73" s="142">
        <f t="shared" si="1"/>
        <v>35534.066506506075</v>
      </c>
    </row>
    <row r="74" spans="1:5" x14ac:dyDescent="0.3">
      <c r="A74" s="141">
        <f t="shared" si="2"/>
        <v>8</v>
      </c>
      <c r="B74" s="64">
        <v>50000</v>
      </c>
      <c r="C74" s="65">
        <v>47574</v>
      </c>
      <c r="D74" s="21">
        <f t="shared" si="0"/>
        <v>0.67683936202868722</v>
      </c>
      <c r="E74" s="142">
        <f t="shared" si="1"/>
        <v>33841.968101434359</v>
      </c>
    </row>
    <row r="75" spans="1:5" x14ac:dyDescent="0.3">
      <c r="A75" s="144">
        <f t="shared" si="2"/>
        <v>9</v>
      </c>
      <c r="B75" s="145">
        <v>50000</v>
      </c>
      <c r="C75" s="146">
        <v>47939</v>
      </c>
      <c r="D75" s="122">
        <f t="shared" si="0"/>
        <v>0.64460891621779726</v>
      </c>
      <c r="E75" s="143">
        <f t="shared" si="1"/>
        <v>32230.445810889862</v>
      </c>
    </row>
    <row r="76" spans="1:5" x14ac:dyDescent="0.3">
      <c r="A76" s="144"/>
      <c r="B76" s="145"/>
      <c r="C76" s="146"/>
      <c r="D76" s="122"/>
      <c r="E76" s="147">
        <f>SUM(E67:E75)</f>
        <v>355391.08378220262</v>
      </c>
    </row>
    <row r="77" spans="1:5" x14ac:dyDescent="0.3">
      <c r="A77" s="66"/>
      <c r="B77" s="7"/>
    </row>
    <row r="78" spans="1:5" x14ac:dyDescent="0.3">
      <c r="A78" s="195" t="s">
        <v>14</v>
      </c>
      <c r="B78" s="7"/>
    </row>
    <row r="79" spans="1:5" x14ac:dyDescent="0.3">
      <c r="A79" s="66"/>
      <c r="B79" s="7"/>
    </row>
    <row r="80" spans="1:5" x14ac:dyDescent="0.3">
      <c r="A80" s="1" t="s">
        <v>48</v>
      </c>
      <c r="E80" s="1"/>
    </row>
    <row r="81" spans="1:6" x14ac:dyDescent="0.3">
      <c r="A81" s="1" t="s">
        <v>49</v>
      </c>
      <c r="B81" s="64"/>
      <c r="C81" s="65"/>
      <c r="E81" s="201"/>
    </row>
    <row r="82" spans="1:6" x14ac:dyDescent="0.3">
      <c r="A82" s="1" t="s">
        <v>50</v>
      </c>
      <c r="B82" s="64"/>
      <c r="C82" s="65"/>
      <c r="E82" s="201"/>
    </row>
    <row r="83" spans="1:6" x14ac:dyDescent="0.3">
      <c r="A83" s="66"/>
      <c r="B83" s="7"/>
    </row>
    <row r="84" spans="1:6" customFormat="1" x14ac:dyDescent="0.3">
      <c r="A84" s="148" t="s">
        <v>51</v>
      </c>
      <c r="B84" s="106"/>
      <c r="C84" s="106"/>
      <c r="D84" s="107"/>
      <c r="E84" s="136"/>
      <c r="F84" s="4"/>
    </row>
    <row r="85" spans="1:6" customFormat="1" x14ac:dyDescent="0.3">
      <c r="A85" s="149" t="s">
        <v>52</v>
      </c>
      <c r="B85" s="150"/>
      <c r="C85" s="150"/>
      <c r="D85" s="150"/>
      <c r="E85" s="151"/>
    </row>
    <row r="86" spans="1:6" customFormat="1" x14ac:dyDescent="0.3">
      <c r="A86" s="152">
        <f>SUM(E67:E75)</f>
        <v>355391.08378220262</v>
      </c>
      <c r="C86" s="4"/>
      <c r="D86" s="4"/>
      <c r="E86" s="153"/>
    </row>
    <row r="87" spans="1:6" customFormat="1" x14ac:dyDescent="0.3">
      <c r="A87" s="154"/>
      <c r="B87" s="51"/>
      <c r="C87" s="4"/>
      <c r="D87" s="4"/>
      <c r="E87" s="153"/>
    </row>
    <row r="88" spans="1:6" customFormat="1" x14ac:dyDescent="0.3">
      <c r="A88" s="155" t="s">
        <v>53</v>
      </c>
      <c r="B88" s="52" t="s">
        <v>54</v>
      </c>
      <c r="C88" s="53" t="s">
        <v>55</v>
      </c>
      <c r="D88" s="53" t="s">
        <v>56</v>
      </c>
      <c r="E88" s="156" t="s">
        <v>57</v>
      </c>
    </row>
    <row r="89" spans="1:6" customFormat="1" x14ac:dyDescent="0.3">
      <c r="A89" s="157" t="s">
        <v>58</v>
      </c>
      <c r="B89" s="55">
        <f>A86</f>
        <v>355391.08378220262</v>
      </c>
      <c r="C89" s="55">
        <v>0</v>
      </c>
      <c r="D89" s="55">
        <f t="shared" ref="D89:D98" si="3">SUM(B89:C89)*$C$57</f>
        <v>17769.554189110131</v>
      </c>
      <c r="E89" s="158">
        <f t="shared" ref="E89:E98" si="4">B89+D89+C89</f>
        <v>373160.63797131274</v>
      </c>
    </row>
    <row r="90" spans="1:6" customFormat="1" x14ac:dyDescent="0.3">
      <c r="A90" s="157" t="s">
        <v>59</v>
      </c>
      <c r="B90" s="55">
        <f>E89</f>
        <v>373160.63797131274</v>
      </c>
      <c r="C90" s="55">
        <f t="shared" ref="C90:C98" si="5">-B67</f>
        <v>-50000</v>
      </c>
      <c r="D90" s="55">
        <f t="shared" si="3"/>
        <v>16158.031898565638</v>
      </c>
      <c r="E90" s="158">
        <f t="shared" si="4"/>
        <v>339318.66986987839</v>
      </c>
    </row>
    <row r="91" spans="1:6" customFormat="1" x14ac:dyDescent="0.3">
      <c r="A91" s="157" t="s">
        <v>60</v>
      </c>
      <c r="B91" s="55">
        <f>E90</f>
        <v>339318.66986987839</v>
      </c>
      <c r="C91" s="55">
        <f t="shared" si="5"/>
        <v>-50000</v>
      </c>
      <c r="D91" s="55">
        <f t="shared" si="3"/>
        <v>14465.93349349392</v>
      </c>
      <c r="E91" s="158">
        <f t="shared" si="4"/>
        <v>303784.60336337233</v>
      </c>
    </row>
    <row r="92" spans="1:6" customFormat="1" x14ac:dyDescent="0.3">
      <c r="A92" s="157" t="s">
        <v>61</v>
      </c>
      <c r="B92" s="55">
        <f t="shared" ref="B92:B98" si="6">E91</f>
        <v>303784.60336337233</v>
      </c>
      <c r="C92" s="55">
        <f t="shared" si="5"/>
        <v>-50000</v>
      </c>
      <c r="D92" s="55">
        <f t="shared" si="3"/>
        <v>12689.230168168617</v>
      </c>
      <c r="E92" s="158">
        <f t="shared" si="4"/>
        <v>266473.83353154093</v>
      </c>
    </row>
    <row r="93" spans="1:6" customFormat="1" x14ac:dyDescent="0.3">
      <c r="A93" s="157" t="s">
        <v>62</v>
      </c>
      <c r="B93" s="55">
        <f t="shared" si="6"/>
        <v>266473.83353154093</v>
      </c>
      <c r="C93" s="55">
        <f t="shared" si="5"/>
        <v>-50000</v>
      </c>
      <c r="D93" s="55">
        <f t="shared" si="3"/>
        <v>10823.691676577047</v>
      </c>
      <c r="E93" s="158">
        <f t="shared" si="4"/>
        <v>227297.52520811796</v>
      </c>
    </row>
    <row r="94" spans="1:6" customFormat="1" x14ac:dyDescent="0.3">
      <c r="A94" s="157" t="s">
        <v>63</v>
      </c>
      <c r="B94" s="55">
        <f t="shared" si="6"/>
        <v>227297.52520811796</v>
      </c>
      <c r="C94" s="55">
        <f t="shared" si="5"/>
        <v>-50000</v>
      </c>
      <c r="D94" s="55">
        <f t="shared" si="3"/>
        <v>8864.8762604058993</v>
      </c>
      <c r="E94" s="158">
        <f t="shared" si="4"/>
        <v>186162.40146852387</v>
      </c>
    </row>
    <row r="95" spans="1:6" customFormat="1" x14ac:dyDescent="0.3">
      <c r="A95" s="157" t="s">
        <v>64</v>
      </c>
      <c r="B95" s="55">
        <f t="shared" si="6"/>
        <v>186162.40146852387</v>
      </c>
      <c r="C95" s="55">
        <f t="shared" si="5"/>
        <v>-50000</v>
      </c>
      <c r="D95" s="55">
        <f t="shared" si="3"/>
        <v>6808.1200734261938</v>
      </c>
      <c r="E95" s="158">
        <f t="shared" si="4"/>
        <v>142970.52154195006</v>
      </c>
    </row>
    <row r="96" spans="1:6" customFormat="1" x14ac:dyDescent="0.3">
      <c r="A96" s="157" t="s">
        <v>65</v>
      </c>
      <c r="B96" s="55">
        <f t="shared" si="6"/>
        <v>142970.52154195006</v>
      </c>
      <c r="C96" s="55">
        <f t="shared" si="5"/>
        <v>-50000</v>
      </c>
      <c r="D96" s="55">
        <f t="shared" si="3"/>
        <v>4648.5260770975028</v>
      </c>
      <c r="E96" s="158">
        <f t="shared" si="4"/>
        <v>97619.047619047575</v>
      </c>
    </row>
    <row r="97" spans="1:11" customFormat="1" x14ac:dyDescent="0.3">
      <c r="A97" s="157" t="s">
        <v>66</v>
      </c>
      <c r="B97" s="55">
        <f t="shared" si="6"/>
        <v>97619.047619047575</v>
      </c>
      <c r="C97" s="55">
        <f t="shared" si="5"/>
        <v>-50000</v>
      </c>
      <c r="D97" s="55">
        <f t="shared" si="3"/>
        <v>2380.9523809523789</v>
      </c>
      <c r="E97" s="158">
        <f t="shared" si="4"/>
        <v>49999.999999999956</v>
      </c>
    </row>
    <row r="98" spans="1:11" customFormat="1" x14ac:dyDescent="0.3">
      <c r="A98" s="159" t="s">
        <v>67</v>
      </c>
      <c r="B98" s="160">
        <f t="shared" si="6"/>
        <v>49999.999999999956</v>
      </c>
      <c r="C98" s="160">
        <f t="shared" si="5"/>
        <v>-50000</v>
      </c>
      <c r="D98" s="160">
        <f t="shared" si="3"/>
        <v>0</v>
      </c>
      <c r="E98" s="161">
        <f t="shared" si="4"/>
        <v>0</v>
      </c>
    </row>
    <row r="99" spans="1:11" x14ac:dyDescent="0.3">
      <c r="A99" s="66"/>
      <c r="B99" s="7"/>
    </row>
    <row r="100" spans="1:11" x14ac:dyDescent="0.3">
      <c r="A100" s="195" t="s">
        <v>68</v>
      </c>
      <c r="B100" s="7"/>
    </row>
    <row r="101" spans="1:11" x14ac:dyDescent="0.3">
      <c r="A101" s="66"/>
      <c r="B101" s="7"/>
    </row>
    <row r="102" spans="1:11" x14ac:dyDescent="0.3">
      <c r="A102" s="2" t="s">
        <v>69</v>
      </c>
      <c r="B102" s="7"/>
    </row>
    <row r="103" spans="1:11" x14ac:dyDescent="0.3">
      <c r="A103" s="66"/>
      <c r="B103" s="7"/>
    </row>
    <row r="104" spans="1:11" x14ac:dyDescent="0.3">
      <c r="A104" s="105" t="s">
        <v>70</v>
      </c>
      <c r="B104" s="106"/>
      <c r="C104" s="125"/>
      <c r="D104" s="23"/>
      <c r="E104" s="1"/>
    </row>
    <row r="105" spans="1:11" x14ac:dyDescent="0.3">
      <c r="A105" s="134">
        <v>20000</v>
      </c>
      <c r="B105" s="127" t="s">
        <v>71</v>
      </c>
      <c r="C105" s="128"/>
      <c r="D105" s="202" t="s">
        <v>72</v>
      </c>
      <c r="E105" s="1"/>
    </row>
    <row r="106" spans="1:11" x14ac:dyDescent="0.3">
      <c r="A106" s="135">
        <v>50000</v>
      </c>
      <c r="B106" s="120" t="s">
        <v>73</v>
      </c>
      <c r="C106" s="133"/>
      <c r="D106" s="202" t="s">
        <v>74</v>
      </c>
      <c r="E106" s="1"/>
    </row>
    <row r="107" spans="1:11" x14ac:dyDescent="0.3">
      <c r="A107" s="66"/>
      <c r="B107" s="7"/>
    </row>
    <row r="108" spans="1:11" customFormat="1" x14ac:dyDescent="0.3">
      <c r="A108" s="2" t="s">
        <v>75</v>
      </c>
      <c r="B108" s="55"/>
      <c r="C108" s="55"/>
      <c r="D108" s="55"/>
      <c r="E108" s="55"/>
      <c r="G108" s="56"/>
      <c r="H108" s="2"/>
      <c r="I108" s="56"/>
      <c r="J108" s="56"/>
      <c r="K108" s="56"/>
    </row>
    <row r="109" spans="1:11" customFormat="1" x14ac:dyDescent="0.3">
      <c r="A109" s="2" t="s">
        <v>76</v>
      </c>
      <c r="B109" s="55"/>
      <c r="C109" s="55"/>
      <c r="D109" s="55"/>
      <c r="E109" s="55"/>
      <c r="G109" s="56"/>
      <c r="H109" s="2"/>
      <c r="I109" s="56"/>
      <c r="J109" s="56"/>
      <c r="K109" s="56"/>
    </row>
    <row r="110" spans="1:11" x14ac:dyDescent="0.3">
      <c r="A110" s="66"/>
      <c r="B110" s="7"/>
    </row>
    <row r="111" spans="1:11" customFormat="1" x14ac:dyDescent="0.3">
      <c r="A111" s="162" t="s">
        <v>77</v>
      </c>
      <c r="B111" s="108"/>
      <c r="C111" s="163"/>
      <c r="D111" s="108"/>
      <c r="E111" s="164"/>
      <c r="H111" s="2"/>
    </row>
    <row r="112" spans="1:11" customFormat="1" x14ac:dyDescent="0.3">
      <c r="A112" s="203">
        <f>SUM(A86,A105,A106)</f>
        <v>425391.08378220262</v>
      </c>
      <c r="B112" s="165" t="s">
        <v>78</v>
      </c>
      <c r="C112" s="150"/>
      <c r="D112" s="150"/>
      <c r="E112" s="151"/>
      <c r="H112" s="2"/>
    </row>
    <row r="113" spans="1:9" customFormat="1" x14ac:dyDescent="0.3">
      <c r="A113" s="166"/>
      <c r="E113" s="153"/>
      <c r="H113" s="2"/>
    </row>
    <row r="114" spans="1:9" customFormat="1" x14ac:dyDescent="0.3">
      <c r="A114" s="166" t="s">
        <v>79</v>
      </c>
      <c r="B114" s="54" t="s">
        <v>80</v>
      </c>
      <c r="C114" s="204" t="s">
        <v>81</v>
      </c>
      <c r="D114" t="s">
        <v>82</v>
      </c>
      <c r="E114" s="167" t="s">
        <v>83</v>
      </c>
      <c r="H114" s="2"/>
    </row>
    <row r="115" spans="1:9" customFormat="1" x14ac:dyDescent="0.3">
      <c r="A115" s="157" t="s">
        <v>58</v>
      </c>
      <c r="B115" s="56">
        <f>A112</f>
        <v>425391.08378220262</v>
      </c>
      <c r="C115" s="56">
        <f t="shared" ref="C115:C124" si="7">-$A$112*10%</f>
        <v>-42539.108378220262</v>
      </c>
      <c r="D115" s="56">
        <f t="shared" ref="D115:D124" si="8">SUM(B115:C115)</f>
        <v>382851.97540398233</v>
      </c>
      <c r="E115" s="168">
        <f t="shared" ref="E115:E124" si="9">D115-E89</f>
        <v>9691.3374326695921</v>
      </c>
      <c r="H115" s="2"/>
    </row>
    <row r="116" spans="1:9" customFormat="1" x14ac:dyDescent="0.3">
      <c r="A116" s="157" t="s">
        <v>59</v>
      </c>
      <c r="B116" s="56">
        <f t="shared" ref="B116:B124" si="10">D115</f>
        <v>382851.97540398233</v>
      </c>
      <c r="C116" s="56">
        <f t="shared" si="7"/>
        <v>-42539.108378220262</v>
      </c>
      <c r="D116" s="56">
        <f t="shared" si="8"/>
        <v>340312.8670257621</v>
      </c>
      <c r="E116" s="168">
        <f t="shared" si="9"/>
        <v>994.19715588371037</v>
      </c>
      <c r="H116" s="2"/>
    </row>
    <row r="117" spans="1:9" customFormat="1" x14ac:dyDescent="0.3">
      <c r="A117" s="157" t="s">
        <v>60</v>
      </c>
      <c r="B117" s="56">
        <f t="shared" si="10"/>
        <v>340312.8670257621</v>
      </c>
      <c r="C117" s="56">
        <f t="shared" si="7"/>
        <v>-42539.108378220262</v>
      </c>
      <c r="D117" s="56">
        <f t="shared" si="8"/>
        <v>297773.75864754186</v>
      </c>
      <c r="E117" s="168">
        <f t="shared" si="9"/>
        <v>-6010.8447158304625</v>
      </c>
      <c r="H117" s="2"/>
    </row>
    <row r="118" spans="1:9" customFormat="1" x14ac:dyDescent="0.3">
      <c r="A118" s="157" t="s">
        <v>61</v>
      </c>
      <c r="B118" s="56">
        <f t="shared" si="10"/>
        <v>297773.75864754186</v>
      </c>
      <c r="C118" s="56">
        <f t="shared" si="7"/>
        <v>-42539.108378220262</v>
      </c>
      <c r="D118" s="56">
        <f t="shared" si="8"/>
        <v>255234.6502693216</v>
      </c>
      <c r="E118" s="168">
        <f t="shared" si="9"/>
        <v>-11239.183262219332</v>
      </c>
      <c r="H118" s="2"/>
    </row>
    <row r="119" spans="1:9" customFormat="1" x14ac:dyDescent="0.3">
      <c r="A119" s="157" t="s">
        <v>62</v>
      </c>
      <c r="B119" s="56">
        <f t="shared" si="10"/>
        <v>255234.6502693216</v>
      </c>
      <c r="C119" s="56">
        <f t="shared" si="7"/>
        <v>-42539.108378220262</v>
      </c>
      <c r="D119" s="56">
        <f t="shared" si="8"/>
        <v>212695.54189110134</v>
      </c>
      <c r="E119" s="168">
        <f t="shared" si="9"/>
        <v>-14601.983317016624</v>
      </c>
      <c r="H119" s="2"/>
    </row>
    <row r="120" spans="1:9" customFormat="1" x14ac:dyDescent="0.3">
      <c r="A120" s="157" t="s">
        <v>63</v>
      </c>
      <c r="B120" s="56">
        <f t="shared" si="10"/>
        <v>212695.54189110134</v>
      </c>
      <c r="C120" s="56">
        <f t="shared" si="7"/>
        <v>-42539.108378220262</v>
      </c>
      <c r="D120" s="56">
        <f t="shared" si="8"/>
        <v>170156.43351288108</v>
      </c>
      <c r="E120" s="168">
        <f t="shared" si="9"/>
        <v>-16005.967955642787</v>
      </c>
      <c r="G120" s="3" t="s">
        <v>84</v>
      </c>
      <c r="H120" s="51"/>
      <c r="I120" s="57"/>
    </row>
    <row r="121" spans="1:9" customFormat="1" x14ac:dyDescent="0.3">
      <c r="A121" s="157" t="s">
        <v>64</v>
      </c>
      <c r="B121" s="56">
        <f t="shared" si="10"/>
        <v>170156.43351288108</v>
      </c>
      <c r="C121" s="56">
        <f t="shared" si="7"/>
        <v>-42539.108378220262</v>
      </c>
      <c r="D121" s="56">
        <f t="shared" si="8"/>
        <v>127617.32513466082</v>
      </c>
      <c r="E121" s="168">
        <f t="shared" si="9"/>
        <v>-15353.196407289244</v>
      </c>
      <c r="G121" s="171">
        <f>SUM(B67:B75)+A105+A106</f>
        <v>520000</v>
      </c>
      <c r="H121" s="172" t="s">
        <v>85</v>
      </c>
      <c r="I121" s="173"/>
    </row>
    <row r="122" spans="1:9" customFormat="1" x14ac:dyDescent="0.3">
      <c r="A122" s="157" t="s">
        <v>65</v>
      </c>
      <c r="B122" s="56">
        <f t="shared" si="10"/>
        <v>127617.32513466082</v>
      </c>
      <c r="C122" s="56">
        <f t="shared" si="7"/>
        <v>-42539.108378220262</v>
      </c>
      <c r="D122" s="56">
        <f t="shared" si="8"/>
        <v>85078.216756440554</v>
      </c>
      <c r="E122" s="168">
        <f t="shared" si="9"/>
        <v>-12540.830862607021</v>
      </c>
      <c r="G122" s="174">
        <f>-SUM(C115:C124)</f>
        <v>425391.08378220256</v>
      </c>
      <c r="H122" t="s">
        <v>86</v>
      </c>
      <c r="I122" s="153"/>
    </row>
    <row r="123" spans="1:9" customFormat="1" x14ac:dyDescent="0.3">
      <c r="A123" s="157" t="s">
        <v>66</v>
      </c>
      <c r="B123" s="56">
        <f t="shared" si="10"/>
        <v>85078.216756440554</v>
      </c>
      <c r="C123" s="56">
        <f t="shared" si="7"/>
        <v>-42539.108378220262</v>
      </c>
      <c r="D123" s="56">
        <f t="shared" si="8"/>
        <v>42539.108378220291</v>
      </c>
      <c r="E123" s="168">
        <f t="shared" si="9"/>
        <v>-7460.891621779665</v>
      </c>
      <c r="G123" s="174">
        <f>SUM(D89:D98)</f>
        <v>94608.916217797319</v>
      </c>
      <c r="H123" t="s">
        <v>87</v>
      </c>
      <c r="I123" s="153"/>
    </row>
    <row r="124" spans="1:9" customFormat="1" x14ac:dyDescent="0.3">
      <c r="A124" s="159" t="s">
        <v>67</v>
      </c>
      <c r="B124" s="169">
        <f t="shared" si="10"/>
        <v>42539.108378220291</v>
      </c>
      <c r="C124" s="169">
        <f t="shared" si="7"/>
        <v>-42539.108378220262</v>
      </c>
      <c r="D124" s="169">
        <f t="shared" si="8"/>
        <v>0</v>
      </c>
      <c r="E124" s="170">
        <f t="shared" si="9"/>
        <v>0</v>
      </c>
      <c r="G124" s="171">
        <f>SUM(G122:G123)</f>
        <v>519999.99999999988</v>
      </c>
      <c r="H124" s="175" t="s">
        <v>88</v>
      </c>
      <c r="I124" s="176"/>
    </row>
    <row r="125" spans="1:9" x14ac:dyDescent="0.3">
      <c r="A125" s="66"/>
      <c r="B125" s="7"/>
    </row>
    <row r="126" spans="1:9" x14ac:dyDescent="0.3">
      <c r="A126" s="66"/>
      <c r="B126" s="7"/>
    </row>
    <row r="127" spans="1:9" x14ac:dyDescent="0.3">
      <c r="A127" s="205" t="s">
        <v>89</v>
      </c>
      <c r="B127" s="206"/>
    </row>
    <row r="128" spans="1:9" x14ac:dyDescent="0.3">
      <c r="A128" s="66"/>
      <c r="B128" s="7"/>
    </row>
    <row r="129" spans="1:8" x14ac:dyDescent="0.3">
      <c r="A129" s="195" t="s">
        <v>20</v>
      </c>
      <c r="B129" s="7"/>
    </row>
    <row r="130" spans="1:8" x14ac:dyDescent="0.3">
      <c r="A130" s="66"/>
      <c r="B130" s="7"/>
    </row>
    <row r="131" spans="1:8" customFormat="1" x14ac:dyDescent="0.3">
      <c r="A131" s="50" t="s">
        <v>90</v>
      </c>
      <c r="D131" s="4"/>
      <c r="E131" s="72"/>
      <c r="H131" s="2"/>
    </row>
    <row r="132" spans="1:8" customFormat="1" x14ac:dyDescent="0.3">
      <c r="D132" s="4"/>
      <c r="H132" s="2"/>
    </row>
    <row r="133" spans="1:8" customFormat="1" x14ac:dyDescent="0.3">
      <c r="A133" t="s">
        <v>91</v>
      </c>
      <c r="D133" s="4"/>
      <c r="H133" s="2"/>
    </row>
    <row r="134" spans="1:8" customFormat="1" x14ac:dyDescent="0.3">
      <c r="D134" s="4"/>
      <c r="H134" s="2"/>
    </row>
    <row r="135" spans="1:8" customFormat="1" x14ac:dyDescent="0.3">
      <c r="B135" s="56">
        <f>D121</f>
        <v>127617.32513466082</v>
      </c>
      <c r="C135" t="s">
        <v>92</v>
      </c>
      <c r="D135" s="4"/>
      <c r="H135" s="2"/>
    </row>
    <row r="136" spans="1:8" customFormat="1" x14ac:dyDescent="0.3">
      <c r="B136" s="97">
        <v>1</v>
      </c>
      <c r="C136" t="s">
        <v>93</v>
      </c>
      <c r="D136" s="4"/>
      <c r="H136" s="2"/>
    </row>
    <row r="137" spans="1:8" customFormat="1" x14ac:dyDescent="0.3">
      <c r="B137" s="56">
        <f>D121</f>
        <v>127617.32513466082</v>
      </c>
      <c r="C137" t="s">
        <v>94</v>
      </c>
      <c r="D137" s="4"/>
      <c r="H137" s="2"/>
    </row>
    <row r="138" spans="1:8" customFormat="1" x14ac:dyDescent="0.3">
      <c r="B138" s="56">
        <f>B135-B137</f>
        <v>0</v>
      </c>
      <c r="C138" t="s">
        <v>95</v>
      </c>
      <c r="D138" s="4"/>
      <c r="H138" s="2"/>
    </row>
    <row r="139" spans="1:8" customFormat="1" x14ac:dyDescent="0.3">
      <c r="D139" s="4"/>
      <c r="H139" s="2"/>
    </row>
    <row r="140" spans="1:8" customFormat="1" x14ac:dyDescent="0.3">
      <c r="B140" s="56">
        <f>E95</f>
        <v>142970.52154195006</v>
      </c>
      <c r="C140" t="s">
        <v>96</v>
      </c>
      <c r="D140" s="4"/>
      <c r="H140" s="2"/>
    </row>
    <row r="141" spans="1:8" customFormat="1" x14ac:dyDescent="0.3">
      <c r="B141" s="97">
        <v>1</v>
      </c>
      <c r="C141" t="s">
        <v>93</v>
      </c>
      <c r="D141" s="4"/>
      <c r="H141" s="2"/>
    </row>
    <row r="142" spans="1:8" customFormat="1" x14ac:dyDescent="0.3">
      <c r="B142" s="56">
        <f>E95</f>
        <v>142970.52154195006</v>
      </c>
      <c r="C142" t="s">
        <v>97</v>
      </c>
      <c r="D142" s="4"/>
      <c r="H142" s="2"/>
    </row>
    <row r="143" spans="1:8" customFormat="1" x14ac:dyDescent="0.3">
      <c r="B143" s="56">
        <f>B140-B142</f>
        <v>0</v>
      </c>
      <c r="C143" t="s">
        <v>98</v>
      </c>
      <c r="D143" s="4"/>
      <c r="H143" s="2"/>
    </row>
    <row r="144" spans="1:8" customFormat="1" x14ac:dyDescent="0.3">
      <c r="D144" s="4"/>
      <c r="H144" s="2"/>
    </row>
    <row r="145" spans="1:12" customFormat="1" x14ac:dyDescent="0.3">
      <c r="A145" s="102">
        <f>B137-B142</f>
        <v>-15353.196407289244</v>
      </c>
      <c r="B145" t="s">
        <v>99</v>
      </c>
      <c r="D145" s="4"/>
      <c r="H145" s="2"/>
    </row>
    <row r="146" spans="1:12" x14ac:dyDescent="0.3">
      <c r="A146" s="66"/>
      <c r="B146" s="7" t="s">
        <v>100</v>
      </c>
    </row>
    <row r="147" spans="1:12" x14ac:dyDescent="0.3">
      <c r="A147" s="66"/>
      <c r="B147" s="7"/>
    </row>
    <row r="148" spans="1:12" x14ac:dyDescent="0.3">
      <c r="A148" s="195" t="s">
        <v>23</v>
      </c>
      <c r="B148" s="7"/>
    </row>
    <row r="149" spans="1:12" x14ac:dyDescent="0.3">
      <c r="A149" s="66"/>
      <c r="B149" s="7"/>
    </row>
    <row r="150" spans="1:12" x14ac:dyDescent="0.3">
      <c r="A150" s="66" t="s">
        <v>101</v>
      </c>
      <c r="B150" s="7"/>
    </row>
    <row r="151" spans="1:12" x14ac:dyDescent="0.3">
      <c r="A151" s="66" t="s">
        <v>210</v>
      </c>
      <c r="B151" s="7"/>
    </row>
    <row r="152" spans="1:12" x14ac:dyDescent="0.3">
      <c r="A152" s="66" t="s">
        <v>211</v>
      </c>
      <c r="B152" s="7"/>
    </row>
    <row r="153" spans="1:12" x14ac:dyDescent="0.3">
      <c r="E153" s="1"/>
    </row>
    <row r="154" spans="1:12" x14ac:dyDescent="0.3">
      <c r="A154" s="105" t="s">
        <v>102</v>
      </c>
      <c r="B154" s="106"/>
      <c r="C154" s="125"/>
      <c r="D154" s="22"/>
      <c r="E154" s="1"/>
    </row>
    <row r="155" spans="1:12" x14ac:dyDescent="0.3">
      <c r="A155" s="126">
        <v>5000000</v>
      </c>
      <c r="B155" s="127" t="s">
        <v>103</v>
      </c>
      <c r="C155" s="128"/>
      <c r="D155" s="22"/>
      <c r="E155" s="1"/>
    </row>
    <row r="156" spans="1:12" x14ac:dyDescent="0.3">
      <c r="A156" s="129">
        <v>-2000000</v>
      </c>
      <c r="B156" s="7" t="s">
        <v>104</v>
      </c>
      <c r="C156" s="130"/>
      <c r="D156" s="22"/>
      <c r="E156" s="1"/>
    </row>
    <row r="157" spans="1:12" x14ac:dyDescent="0.3">
      <c r="A157" s="131">
        <v>3000000</v>
      </c>
      <c r="B157" s="7" t="s">
        <v>105</v>
      </c>
      <c r="C157" s="130"/>
      <c r="D157" s="22"/>
      <c r="E157" s="1"/>
    </row>
    <row r="158" spans="1:12" x14ac:dyDescent="0.3">
      <c r="A158" s="132">
        <v>100000</v>
      </c>
      <c r="B158" s="120" t="s">
        <v>106</v>
      </c>
      <c r="C158" s="133"/>
      <c r="D158" s="22"/>
      <c r="E158" s="1"/>
    </row>
    <row r="159" spans="1:12" x14ac:dyDescent="0.3">
      <c r="A159" s="20"/>
      <c r="C159" s="21"/>
      <c r="D159" s="22"/>
      <c r="E159" s="1"/>
    </row>
    <row r="160" spans="1:12" customFormat="1" x14ac:dyDescent="0.3">
      <c r="A160" s="148" t="s">
        <v>107</v>
      </c>
      <c r="B160" s="106"/>
      <c r="C160" s="106"/>
      <c r="D160" s="107"/>
      <c r="E160" s="106"/>
      <c r="F160" s="106"/>
      <c r="G160" s="164"/>
      <c r="H160" s="58"/>
      <c r="I160" s="59"/>
      <c r="J160" s="58"/>
      <c r="K160" s="59"/>
      <c r="L160" s="60"/>
    </row>
    <row r="161" spans="1:12" customFormat="1" ht="37.35" customHeight="1" x14ac:dyDescent="0.3">
      <c r="A161" s="177" t="s">
        <v>53</v>
      </c>
      <c r="B161" s="178" t="s">
        <v>54</v>
      </c>
      <c r="C161" s="178" t="s">
        <v>212</v>
      </c>
      <c r="D161" s="214" t="s">
        <v>214</v>
      </c>
      <c r="E161" s="213" t="s">
        <v>213</v>
      </c>
      <c r="F161" s="179" t="s">
        <v>108</v>
      </c>
      <c r="G161" s="151"/>
      <c r="H161" s="60"/>
      <c r="I161" s="60"/>
      <c r="J161" s="61"/>
      <c r="K161" s="60"/>
      <c r="L161" s="60"/>
    </row>
    <row r="162" spans="1:12" customFormat="1" x14ac:dyDescent="0.3">
      <c r="A162" s="157" t="s">
        <v>58</v>
      </c>
      <c r="B162" s="67">
        <f>A157</f>
        <v>3000000</v>
      </c>
      <c r="C162" s="57">
        <f t="shared" ref="C162:C171" si="11">-$A$158</f>
        <v>-100000</v>
      </c>
      <c r="D162" s="67">
        <v>5000</v>
      </c>
      <c r="E162" s="57">
        <f t="shared" ref="E162:E167" si="12">-$D$162/10</f>
        <v>-500</v>
      </c>
      <c r="F162" s="67">
        <f>B162+C162+D162+E162</f>
        <v>2904500</v>
      </c>
      <c r="G162" s="153"/>
      <c r="H162" s="60"/>
      <c r="I162" s="60"/>
      <c r="J162" s="61"/>
      <c r="K162" s="60"/>
      <c r="L162" s="60"/>
    </row>
    <row r="163" spans="1:12" customFormat="1" x14ac:dyDescent="0.3">
      <c r="A163" s="157" t="s">
        <v>59</v>
      </c>
      <c r="B163" s="67">
        <f>F162</f>
        <v>2904500</v>
      </c>
      <c r="C163" s="57">
        <f t="shared" si="11"/>
        <v>-100000</v>
      </c>
      <c r="D163" s="51"/>
      <c r="E163" s="57">
        <f t="shared" si="12"/>
        <v>-500</v>
      </c>
      <c r="F163" s="67">
        <f t="shared" ref="F163:F171" si="13">B163+C163+D163+E163</f>
        <v>2804000</v>
      </c>
      <c r="G163" s="153"/>
      <c r="H163" s="62"/>
      <c r="I163" s="60"/>
      <c r="J163" s="63"/>
      <c r="K163" s="60"/>
      <c r="L163" s="60"/>
    </row>
    <row r="164" spans="1:12" customFormat="1" x14ac:dyDescent="0.3">
      <c r="A164" s="157" t="s">
        <v>60</v>
      </c>
      <c r="B164" s="67">
        <f t="shared" ref="B164:B171" si="14">F163</f>
        <v>2804000</v>
      </c>
      <c r="C164" s="57">
        <f t="shared" si="11"/>
        <v>-100000</v>
      </c>
      <c r="D164" s="51"/>
      <c r="E164" s="57">
        <f t="shared" si="12"/>
        <v>-500</v>
      </c>
      <c r="F164" s="67">
        <f t="shared" si="13"/>
        <v>2703500</v>
      </c>
      <c r="G164" s="153"/>
      <c r="H164" s="62"/>
      <c r="I164" s="60"/>
      <c r="J164" s="63"/>
      <c r="K164" s="60"/>
      <c r="L164" s="60"/>
    </row>
    <row r="165" spans="1:12" customFormat="1" x14ac:dyDescent="0.3">
      <c r="A165" s="157" t="s">
        <v>61</v>
      </c>
      <c r="B165" s="67">
        <f t="shared" si="14"/>
        <v>2703500</v>
      </c>
      <c r="C165" s="57">
        <f t="shared" si="11"/>
        <v>-100000</v>
      </c>
      <c r="D165" s="51"/>
      <c r="E165" s="57">
        <f t="shared" si="12"/>
        <v>-500</v>
      </c>
      <c r="F165" s="67">
        <f t="shared" si="13"/>
        <v>2603000</v>
      </c>
      <c r="G165" s="153"/>
      <c r="H165" s="62"/>
      <c r="I165" s="60"/>
      <c r="J165" s="63"/>
      <c r="K165" s="60"/>
      <c r="L165" s="60"/>
    </row>
    <row r="166" spans="1:12" customFormat="1" x14ac:dyDescent="0.3">
      <c r="A166" s="157" t="s">
        <v>62</v>
      </c>
      <c r="B166" s="67">
        <f t="shared" si="14"/>
        <v>2603000</v>
      </c>
      <c r="C166" s="57">
        <f t="shared" si="11"/>
        <v>-100000</v>
      </c>
      <c r="D166" s="51"/>
      <c r="E166" s="57">
        <f t="shared" si="12"/>
        <v>-500</v>
      </c>
      <c r="F166" s="67">
        <f t="shared" si="13"/>
        <v>2502500</v>
      </c>
      <c r="G166" s="153"/>
      <c r="H166" s="62"/>
      <c r="I166" s="60"/>
      <c r="J166" s="63"/>
      <c r="K166" s="60"/>
      <c r="L166" s="60"/>
    </row>
    <row r="167" spans="1:12" customFormat="1" x14ac:dyDescent="0.3">
      <c r="A167" s="157" t="s">
        <v>63</v>
      </c>
      <c r="B167" s="67">
        <f t="shared" si="14"/>
        <v>2502500</v>
      </c>
      <c r="C167" s="57">
        <f t="shared" si="11"/>
        <v>-100000</v>
      </c>
      <c r="D167" s="51"/>
      <c r="E167" s="57">
        <f t="shared" si="12"/>
        <v>-500</v>
      </c>
      <c r="F167" s="67">
        <f t="shared" si="13"/>
        <v>2402000</v>
      </c>
      <c r="G167" s="153"/>
      <c r="H167" s="62"/>
      <c r="I167" s="60"/>
      <c r="J167" s="63"/>
      <c r="K167" s="60"/>
      <c r="L167" s="60"/>
    </row>
    <row r="168" spans="1:12" customFormat="1" x14ac:dyDescent="0.3">
      <c r="A168" s="157" t="s">
        <v>64</v>
      </c>
      <c r="B168" s="67">
        <f t="shared" si="14"/>
        <v>2402000</v>
      </c>
      <c r="C168" s="57">
        <f t="shared" si="11"/>
        <v>-100000</v>
      </c>
      <c r="D168" s="51"/>
      <c r="E168" s="98">
        <f>-$D$162/10*4</f>
        <v>-2000</v>
      </c>
      <c r="F168" s="67">
        <f t="shared" si="13"/>
        <v>2300000</v>
      </c>
      <c r="G168" s="153"/>
      <c r="H168" s="95"/>
      <c r="I168" s="60"/>
      <c r="J168" s="63"/>
      <c r="K168" s="60"/>
      <c r="L168" s="60"/>
    </row>
    <row r="169" spans="1:12" customFormat="1" x14ac:dyDescent="0.3">
      <c r="A169" s="157" t="s">
        <v>65</v>
      </c>
      <c r="B169" s="67">
        <f t="shared" si="14"/>
        <v>2300000</v>
      </c>
      <c r="C169" s="57">
        <f t="shared" si="11"/>
        <v>-100000</v>
      </c>
      <c r="D169" s="51"/>
      <c r="E169" s="57">
        <v>0</v>
      </c>
      <c r="F169" s="67">
        <f t="shared" si="13"/>
        <v>2200000</v>
      </c>
      <c r="G169" s="153"/>
      <c r="H169" s="62"/>
      <c r="I169" s="60"/>
      <c r="J169" s="63"/>
      <c r="K169" s="60"/>
      <c r="L169" s="60"/>
    </row>
    <row r="170" spans="1:12" customFormat="1" x14ac:dyDescent="0.3">
      <c r="A170" s="157" t="s">
        <v>66</v>
      </c>
      <c r="B170" s="67">
        <f t="shared" si="14"/>
        <v>2200000</v>
      </c>
      <c r="C170" s="57">
        <f t="shared" si="11"/>
        <v>-100000</v>
      </c>
      <c r="D170" s="51"/>
      <c r="E170" s="57">
        <v>0</v>
      </c>
      <c r="F170" s="67">
        <f t="shared" si="13"/>
        <v>2100000</v>
      </c>
      <c r="G170" s="153"/>
      <c r="H170" s="62"/>
      <c r="I170" s="60"/>
      <c r="J170" s="63"/>
      <c r="K170" s="60"/>
      <c r="L170" s="60"/>
    </row>
    <row r="171" spans="1:12" customFormat="1" x14ac:dyDescent="0.3">
      <c r="A171" s="159" t="s">
        <v>67</v>
      </c>
      <c r="B171" s="180">
        <f t="shared" si="14"/>
        <v>2100000</v>
      </c>
      <c r="C171" s="181">
        <f t="shared" si="11"/>
        <v>-100000</v>
      </c>
      <c r="D171" s="182"/>
      <c r="E171" s="181">
        <v>0</v>
      </c>
      <c r="F171" s="180">
        <f t="shared" si="13"/>
        <v>2000000</v>
      </c>
      <c r="G171" s="176"/>
      <c r="H171" s="62"/>
      <c r="I171" s="60"/>
      <c r="J171" s="63"/>
      <c r="K171" s="60"/>
      <c r="L171" s="60"/>
    </row>
    <row r="172" spans="1:12" customFormat="1" x14ac:dyDescent="0.3">
      <c r="B172" s="4"/>
      <c r="C172" s="4"/>
      <c r="D172" s="51"/>
      <c r="E172" s="4"/>
      <c r="F172" s="4"/>
      <c r="H172" s="62"/>
      <c r="I172" s="60"/>
      <c r="J172" s="63"/>
      <c r="K172" s="60"/>
      <c r="L172" s="60"/>
    </row>
    <row r="173" spans="1:12" customFormat="1" x14ac:dyDescent="0.3">
      <c r="A173" s="195" t="s">
        <v>25</v>
      </c>
      <c r="B173" s="4"/>
      <c r="C173" s="4"/>
      <c r="D173" s="51"/>
      <c r="E173" s="4"/>
      <c r="F173" s="4"/>
      <c r="H173" s="62"/>
      <c r="I173" s="60"/>
      <c r="J173" s="63"/>
      <c r="K173" s="60"/>
      <c r="L173" s="60"/>
    </row>
    <row r="174" spans="1:12" customFormat="1" x14ac:dyDescent="0.3">
      <c r="B174" s="4"/>
      <c r="C174" s="4"/>
      <c r="D174" s="51"/>
      <c r="E174" s="4"/>
      <c r="F174" s="4"/>
      <c r="H174" s="62"/>
      <c r="I174" s="60"/>
      <c r="J174" s="63"/>
      <c r="K174" s="60"/>
      <c r="L174" s="60"/>
    </row>
    <row r="175" spans="1:12" customFormat="1" x14ac:dyDescent="0.3">
      <c r="A175" t="s">
        <v>109</v>
      </c>
      <c r="B175" s="4"/>
      <c r="C175" s="4"/>
      <c r="D175" s="51"/>
      <c r="E175" s="4"/>
      <c r="F175" s="4"/>
      <c r="H175" s="62"/>
      <c r="I175" s="60"/>
      <c r="J175" s="63"/>
      <c r="K175" s="60"/>
      <c r="L175" s="60"/>
    </row>
    <row r="176" spans="1:12" customFormat="1" x14ac:dyDescent="0.3">
      <c r="B176" s="4"/>
      <c r="C176" s="4"/>
      <c r="D176" s="51"/>
      <c r="E176" s="4"/>
      <c r="F176" s="4"/>
      <c r="J176" s="2"/>
    </row>
    <row r="177" spans="1:9" customFormat="1" x14ac:dyDescent="0.3">
      <c r="A177" s="148" t="s">
        <v>110</v>
      </c>
      <c r="B177" s="106"/>
      <c r="C177" s="108"/>
      <c r="D177" s="125"/>
      <c r="E177" s="4"/>
      <c r="I177" s="2"/>
    </row>
    <row r="178" spans="1:9" customFormat="1" x14ac:dyDescent="0.3">
      <c r="A178" s="177" t="s">
        <v>53</v>
      </c>
      <c r="B178" s="178" t="s">
        <v>111</v>
      </c>
      <c r="C178" s="178"/>
      <c r="D178" s="183" t="s">
        <v>112</v>
      </c>
      <c r="E178" s="4"/>
      <c r="I178" s="2"/>
    </row>
    <row r="179" spans="1:9" customFormat="1" x14ac:dyDescent="0.3">
      <c r="A179" s="157" t="s">
        <v>58</v>
      </c>
      <c r="B179" s="57">
        <f>A106</f>
        <v>50000</v>
      </c>
      <c r="C179" s="57"/>
      <c r="D179" s="184">
        <f>A106+C179</f>
        <v>50000</v>
      </c>
      <c r="E179" s="4"/>
      <c r="I179" s="2"/>
    </row>
    <row r="180" spans="1:9" customFormat="1" x14ac:dyDescent="0.3">
      <c r="A180" s="157" t="s">
        <v>59</v>
      </c>
      <c r="B180" s="57">
        <f t="shared" ref="B180:B185" si="15">-C90</f>
        <v>50000</v>
      </c>
      <c r="D180" s="184">
        <f t="shared" ref="D180:D188" si="16">B180</f>
        <v>50000</v>
      </c>
      <c r="E180" s="4"/>
      <c r="I180" s="2"/>
    </row>
    <row r="181" spans="1:9" customFormat="1" x14ac:dyDescent="0.3">
      <c r="A181" s="157" t="s">
        <v>60</v>
      </c>
      <c r="B181" s="57">
        <f t="shared" si="15"/>
        <v>50000</v>
      </c>
      <c r="D181" s="184">
        <f t="shared" si="16"/>
        <v>50000</v>
      </c>
      <c r="E181" s="4"/>
      <c r="I181" s="2"/>
    </row>
    <row r="182" spans="1:9" customFormat="1" x14ac:dyDescent="0.3">
      <c r="A182" s="157" t="s">
        <v>61</v>
      </c>
      <c r="B182" s="57">
        <f t="shared" si="15"/>
        <v>50000</v>
      </c>
      <c r="D182" s="184">
        <f t="shared" si="16"/>
        <v>50000</v>
      </c>
      <c r="E182" s="4"/>
      <c r="I182" s="2"/>
    </row>
    <row r="183" spans="1:9" customFormat="1" x14ac:dyDescent="0.3">
      <c r="A183" s="157" t="s">
        <v>62</v>
      </c>
      <c r="B183" s="57">
        <f t="shared" si="15"/>
        <v>50000</v>
      </c>
      <c r="D183" s="184">
        <f t="shared" si="16"/>
        <v>50000</v>
      </c>
      <c r="E183" s="4"/>
      <c r="I183" s="2"/>
    </row>
    <row r="184" spans="1:9" customFormat="1" x14ac:dyDescent="0.3">
      <c r="A184" s="157" t="s">
        <v>63</v>
      </c>
      <c r="B184" s="57">
        <f t="shared" si="15"/>
        <v>50000</v>
      </c>
      <c r="D184" s="184">
        <f t="shared" si="16"/>
        <v>50000</v>
      </c>
      <c r="E184" s="4"/>
      <c r="I184" s="2"/>
    </row>
    <row r="185" spans="1:9" customFormat="1" x14ac:dyDescent="0.3">
      <c r="A185" s="157" t="s">
        <v>64</v>
      </c>
      <c r="B185" s="57">
        <f t="shared" si="15"/>
        <v>50000</v>
      </c>
      <c r="D185" s="184">
        <f t="shared" si="16"/>
        <v>50000</v>
      </c>
      <c r="E185" s="4"/>
      <c r="I185" s="2"/>
    </row>
    <row r="186" spans="1:9" customFormat="1" x14ac:dyDescent="0.3">
      <c r="A186" s="157" t="s">
        <v>65</v>
      </c>
      <c r="B186" s="57">
        <v>0</v>
      </c>
      <c r="D186" s="184">
        <f t="shared" si="16"/>
        <v>0</v>
      </c>
      <c r="E186" s="4"/>
      <c r="I186" s="2"/>
    </row>
    <row r="187" spans="1:9" customFormat="1" x14ac:dyDescent="0.3">
      <c r="A187" s="157" t="s">
        <v>66</v>
      </c>
      <c r="B187" s="57">
        <v>0</v>
      </c>
      <c r="D187" s="184">
        <f t="shared" si="16"/>
        <v>0</v>
      </c>
      <c r="E187" s="4"/>
      <c r="I187" s="2"/>
    </row>
    <row r="188" spans="1:9" customFormat="1" x14ac:dyDescent="0.3">
      <c r="A188" s="159" t="s">
        <v>67</v>
      </c>
      <c r="B188" s="181">
        <v>0</v>
      </c>
      <c r="C188" s="175"/>
      <c r="D188" s="185">
        <f t="shared" si="16"/>
        <v>0</v>
      </c>
      <c r="E188" s="4"/>
      <c r="I188" s="2"/>
    </row>
  </sheetData>
  <mergeCells count="3">
    <mergeCell ref="A36:J36"/>
    <mergeCell ref="A4:J4"/>
    <mergeCell ref="A32:J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1"/>
  <sheetViews>
    <sheetView showGridLines="0" topLeftCell="A141" workbookViewId="0">
      <selection activeCell="A149" sqref="A149"/>
    </sheetView>
  </sheetViews>
  <sheetFormatPr defaultRowHeight="14.4" outlineLevelCol="1" x14ac:dyDescent="0.3"/>
  <cols>
    <col min="1" max="1" width="43.77734375" style="2" customWidth="1"/>
    <col min="2" max="2" width="15.109375" style="4" customWidth="1"/>
    <col min="3" max="3" width="24.77734375" style="4" customWidth="1"/>
    <col min="4" max="4" width="15.77734375" style="4" customWidth="1"/>
    <col min="5" max="5" width="26.33203125" style="4" customWidth="1"/>
    <col min="6" max="6" width="15.88671875" style="4" hidden="1" customWidth="1" outlineLevel="1"/>
    <col min="7" max="7" width="8.88671875" style="189" hidden="1" customWidth="1" outlineLevel="1"/>
    <col min="8" max="8" width="8.88671875" customWidth="1" collapsed="1"/>
    <col min="9" max="10" width="8.88671875" customWidth="1"/>
  </cols>
  <sheetData>
    <row r="1" spans="1:7" x14ac:dyDescent="0.3">
      <c r="A1" s="33" t="s">
        <v>113</v>
      </c>
    </row>
    <row r="3" spans="1:7" x14ac:dyDescent="0.3">
      <c r="B3" s="28"/>
    </row>
    <row r="4" spans="1:7" ht="15" thickBot="1" x14ac:dyDescent="0.35">
      <c r="A4" s="3"/>
      <c r="B4" s="225" t="s">
        <v>114</v>
      </c>
      <c r="C4" s="226"/>
      <c r="D4" s="3" t="s">
        <v>115</v>
      </c>
    </row>
    <row r="5" spans="1:7" ht="18.75" customHeight="1" thickBot="1" x14ac:dyDescent="0.35">
      <c r="A5" s="32" t="s">
        <v>116</v>
      </c>
      <c r="B5" s="29" t="s">
        <v>117</v>
      </c>
      <c r="C5" s="30" t="s">
        <v>118</v>
      </c>
      <c r="D5" s="29" t="s">
        <v>119</v>
      </c>
      <c r="E5" s="30" t="s">
        <v>120</v>
      </c>
      <c r="F5" s="5"/>
    </row>
    <row r="6" spans="1:7" ht="15.6" x14ac:dyDescent="0.3">
      <c r="A6" s="104" t="s">
        <v>121</v>
      </c>
      <c r="B6" s="9"/>
      <c r="C6" s="10"/>
      <c r="D6" s="9"/>
      <c r="E6" s="10"/>
    </row>
    <row r="7" spans="1:7" x14ac:dyDescent="0.3">
      <c r="A7" s="2" t="s">
        <v>122</v>
      </c>
      <c r="B7" s="11">
        <f>'Scenario and Data'!D89</f>
        <v>17769.554189110131</v>
      </c>
      <c r="C7" s="10"/>
      <c r="D7" s="11"/>
      <c r="E7" s="10"/>
    </row>
    <row r="8" spans="1:7" x14ac:dyDescent="0.3">
      <c r="A8" s="2" t="s">
        <v>123</v>
      </c>
      <c r="B8" s="9"/>
      <c r="C8" s="12">
        <f>-'Scenario and Data'!C115</f>
        <v>42539.108378220262</v>
      </c>
      <c r="D8" s="11"/>
      <c r="E8" s="12"/>
      <c r="G8" s="189" t="s">
        <v>124</v>
      </c>
    </row>
    <row r="9" spans="1:7" x14ac:dyDescent="0.3">
      <c r="A9" s="2" t="s">
        <v>125</v>
      </c>
      <c r="B9" s="9"/>
      <c r="C9" s="10"/>
      <c r="D9" s="11">
        <f>-'Scenario and Data'!A106</f>
        <v>-50000</v>
      </c>
      <c r="E9" s="10"/>
      <c r="G9" s="189" t="s">
        <v>73</v>
      </c>
    </row>
    <row r="10" spans="1:7" x14ac:dyDescent="0.3">
      <c r="A10" s="2" t="s">
        <v>126</v>
      </c>
      <c r="B10" s="9"/>
      <c r="C10" s="10"/>
      <c r="D10" s="9"/>
      <c r="E10" s="12">
        <f>-'Scenario and Data'!C162-'Scenario and Data'!E162</f>
        <v>100500</v>
      </c>
      <c r="G10" s="189" t="s">
        <v>127</v>
      </c>
    </row>
    <row r="11" spans="1:7" ht="15" thickBot="1" x14ac:dyDescent="0.35">
      <c r="A11" s="3" t="s">
        <v>128</v>
      </c>
      <c r="B11" s="13">
        <f>SUM(B7:B10)</f>
        <v>17769.554189110131</v>
      </c>
      <c r="C11" s="14">
        <f>SUM(C7:C10)</f>
        <v>42539.108378220262</v>
      </c>
      <c r="D11" s="13">
        <f>SUM(D7:D10)</f>
        <v>-50000</v>
      </c>
      <c r="E11" s="14">
        <f>SUM(E7:E10)</f>
        <v>100500</v>
      </c>
      <c r="F11" s="6"/>
    </row>
    <row r="12" spans="1:7" ht="15.6" thickTop="1" thickBot="1" x14ac:dyDescent="0.35">
      <c r="A12" s="3"/>
      <c r="B12" s="18"/>
      <c r="C12" s="18"/>
      <c r="D12" s="18"/>
      <c r="E12" s="18"/>
      <c r="F12" s="6"/>
    </row>
    <row r="13" spans="1:7" ht="16.2" thickBot="1" x14ac:dyDescent="0.35">
      <c r="A13" s="104" t="s">
        <v>129</v>
      </c>
      <c r="B13" s="29" t="s">
        <v>117</v>
      </c>
      <c r="C13" s="30" t="s">
        <v>118</v>
      </c>
      <c r="D13" s="29" t="s">
        <v>119</v>
      </c>
      <c r="E13" s="30" t="s">
        <v>120</v>
      </c>
    </row>
    <row r="14" spans="1:7" x14ac:dyDescent="0.3">
      <c r="A14" s="8" t="s">
        <v>130</v>
      </c>
      <c r="B14" s="9"/>
      <c r="C14" s="19">
        <f>-B17</f>
        <v>355391.08378220262</v>
      </c>
      <c r="D14" s="9"/>
      <c r="E14" s="12"/>
      <c r="G14" s="190" t="s">
        <v>131</v>
      </c>
    </row>
    <row r="15" spans="1:7" x14ac:dyDescent="0.3">
      <c r="A15" s="8" t="s">
        <v>132</v>
      </c>
      <c r="B15" s="9"/>
      <c r="C15" s="19">
        <f>-B21</f>
        <v>50000</v>
      </c>
      <c r="D15" s="9"/>
      <c r="E15" s="12"/>
      <c r="G15" s="190" t="s">
        <v>133</v>
      </c>
    </row>
    <row r="16" spans="1:7" x14ac:dyDescent="0.3">
      <c r="A16" s="8" t="s">
        <v>134</v>
      </c>
      <c r="B16" s="9"/>
      <c r="C16" s="19">
        <f>'Scenario and Data'!A105</f>
        <v>20000</v>
      </c>
      <c r="D16" s="9"/>
      <c r="E16" s="12"/>
      <c r="G16" s="190" t="s">
        <v>135</v>
      </c>
    </row>
    <row r="17" spans="1:7" x14ac:dyDescent="0.3">
      <c r="A17" s="2" t="s">
        <v>136</v>
      </c>
      <c r="B17" s="11">
        <f>-'Scenario and Data'!A86</f>
        <v>-355391.08378220262</v>
      </c>
      <c r="C17" s="10"/>
      <c r="D17" s="9"/>
      <c r="E17" s="12"/>
      <c r="G17" s="190" t="s">
        <v>137</v>
      </c>
    </row>
    <row r="18" spans="1:7" x14ac:dyDescent="0.3">
      <c r="A18" s="2" t="s">
        <v>138</v>
      </c>
      <c r="B18" s="11">
        <f>-B7</f>
        <v>-17769.554189110131</v>
      </c>
      <c r="C18" s="10"/>
      <c r="D18" s="11"/>
      <c r="E18" s="12"/>
      <c r="G18" s="190" t="s">
        <v>139</v>
      </c>
    </row>
    <row r="19" spans="1:7" x14ac:dyDescent="0.3">
      <c r="A19" s="2" t="s">
        <v>140</v>
      </c>
      <c r="B19" s="11"/>
      <c r="C19" s="10"/>
      <c r="D19" s="11"/>
      <c r="E19" s="12">
        <f>'Scenario and Data'!D162</f>
        <v>5000</v>
      </c>
      <c r="G19" s="189" t="s">
        <v>141</v>
      </c>
    </row>
    <row r="20" spans="1:7" x14ac:dyDescent="0.3">
      <c r="A20" s="2" t="s">
        <v>104</v>
      </c>
      <c r="B20" s="9"/>
      <c r="C20" s="12">
        <f>'Scenario and Data'!C115</f>
        <v>-42539.108378220262</v>
      </c>
      <c r="D20" s="11"/>
      <c r="E20" s="12">
        <f>-E10</f>
        <v>-100500</v>
      </c>
      <c r="G20" s="190" t="s">
        <v>142</v>
      </c>
    </row>
    <row r="21" spans="1:7" x14ac:dyDescent="0.3">
      <c r="A21" s="2" t="s">
        <v>143</v>
      </c>
      <c r="B21" s="11">
        <f>-'Scenario and Data'!A106</f>
        <v>-50000</v>
      </c>
      <c r="C21" s="12"/>
      <c r="D21" s="11">
        <f>'Scenario and Data'!A106</f>
        <v>50000</v>
      </c>
      <c r="E21" s="10"/>
      <c r="G21" s="190"/>
    </row>
    <row r="22" spans="1:7" x14ac:dyDescent="0.3">
      <c r="A22" s="2" t="s">
        <v>144</v>
      </c>
      <c r="B22" s="11">
        <f>-'Scenario and Data'!A105</f>
        <v>-20000</v>
      </c>
      <c r="C22" s="12"/>
      <c r="D22" s="11">
        <v>-5000</v>
      </c>
      <c r="E22" s="10"/>
      <c r="G22" s="190" t="s">
        <v>145</v>
      </c>
    </row>
    <row r="23" spans="1:7" x14ac:dyDescent="0.3">
      <c r="B23" s="11"/>
      <c r="C23" s="10"/>
      <c r="D23" s="9"/>
      <c r="E23" s="12"/>
      <c r="G23" s="190"/>
    </row>
    <row r="24" spans="1:7" ht="15" thickBot="1" x14ac:dyDescent="0.35">
      <c r="A24" s="3" t="s">
        <v>146</v>
      </c>
      <c r="B24" s="13">
        <f>SUM(B14:B23)</f>
        <v>-443160.63797131274</v>
      </c>
      <c r="C24" s="14">
        <f>SUM(C14:C23)</f>
        <v>382851.97540398233</v>
      </c>
      <c r="D24" s="13">
        <f>SUM(D14:D23)</f>
        <v>45000</v>
      </c>
      <c r="E24" s="14">
        <f>SUM(E14:E23)</f>
        <v>-95500</v>
      </c>
      <c r="F24" s="6"/>
      <c r="G24" s="190"/>
    </row>
    <row r="25" spans="1:7" ht="15" thickTop="1" x14ac:dyDescent="0.3">
      <c r="B25" s="9"/>
      <c r="C25" s="10"/>
      <c r="D25" s="9"/>
      <c r="E25" s="12"/>
      <c r="G25" s="190"/>
    </row>
    <row r="26" spans="1:7" x14ac:dyDescent="0.3">
      <c r="A26" s="2" t="s">
        <v>147</v>
      </c>
      <c r="B26" s="11">
        <f>B17+B18</f>
        <v>-373160.63797131274</v>
      </c>
      <c r="C26" s="10"/>
      <c r="D26" s="9"/>
      <c r="E26" s="12"/>
      <c r="G26" s="190" t="s">
        <v>148</v>
      </c>
    </row>
    <row r="27" spans="1:7" x14ac:dyDescent="0.3">
      <c r="A27" s="2" t="s">
        <v>149</v>
      </c>
      <c r="B27" s="11"/>
      <c r="C27" s="12">
        <f>C24</f>
        <v>382851.97540398233</v>
      </c>
      <c r="D27" s="9"/>
      <c r="E27" s="12"/>
      <c r="G27" s="190" t="s">
        <v>150</v>
      </c>
    </row>
    <row r="28" spans="1:7" x14ac:dyDescent="0.3">
      <c r="A28" s="2" t="s">
        <v>151</v>
      </c>
      <c r="B28" s="9"/>
      <c r="C28" s="12"/>
      <c r="D28" s="11"/>
      <c r="E28" s="12">
        <f>'Scenario and Data'!A157+Accounting!E20+E19</f>
        <v>2904500</v>
      </c>
      <c r="G28" s="190"/>
    </row>
    <row r="29" spans="1:7" ht="15" thickBot="1" x14ac:dyDescent="0.35">
      <c r="A29" s="3" t="s">
        <v>152</v>
      </c>
      <c r="B29" s="13">
        <f>SUM(B26:B28)</f>
        <v>-373160.63797131274</v>
      </c>
      <c r="C29" s="14">
        <f t="shared" ref="C29:E29" si="0">SUM(C26:C28)</f>
        <v>382851.97540398233</v>
      </c>
      <c r="D29" s="13"/>
      <c r="E29" s="14">
        <f t="shared" si="0"/>
        <v>2904500</v>
      </c>
      <c r="F29" s="6"/>
      <c r="G29" s="190"/>
    </row>
    <row r="30" spans="1:7" ht="15" thickTop="1" x14ac:dyDescent="0.3">
      <c r="B30" s="17"/>
      <c r="C30" s="17"/>
      <c r="D30" s="17"/>
      <c r="E30" s="17"/>
      <c r="G30" s="190"/>
    </row>
    <row r="31" spans="1:7" x14ac:dyDescent="0.3">
      <c r="G31" s="190"/>
    </row>
    <row r="32" spans="1:7" ht="15" thickBot="1" x14ac:dyDescent="0.35">
      <c r="B32" s="225" t="s">
        <v>114</v>
      </c>
      <c r="C32" s="226"/>
      <c r="D32" s="3" t="s">
        <v>115</v>
      </c>
      <c r="G32" s="190"/>
    </row>
    <row r="33" spans="1:7" ht="17.100000000000001" customHeight="1" thickBot="1" x14ac:dyDescent="0.35">
      <c r="A33" s="32" t="s">
        <v>153</v>
      </c>
      <c r="B33" s="29" t="s">
        <v>117</v>
      </c>
      <c r="C33" s="31" t="s">
        <v>118</v>
      </c>
      <c r="D33" s="29" t="s">
        <v>119</v>
      </c>
      <c r="E33" s="30" t="s">
        <v>120</v>
      </c>
      <c r="F33" s="5"/>
      <c r="G33" s="190"/>
    </row>
    <row r="34" spans="1:7" ht="15.6" x14ac:dyDescent="0.3">
      <c r="A34" s="104" t="s">
        <v>121</v>
      </c>
      <c r="B34" s="9"/>
      <c r="D34" s="9"/>
      <c r="E34" s="10"/>
      <c r="G34" s="190"/>
    </row>
    <row r="35" spans="1:7" x14ac:dyDescent="0.3">
      <c r="A35" s="2" t="s">
        <v>122</v>
      </c>
      <c r="B35" s="11">
        <f>'Scenario and Data'!D90</f>
        <v>16158.031898565638</v>
      </c>
      <c r="C35" s="10"/>
      <c r="D35" s="11"/>
      <c r="E35" s="10"/>
      <c r="G35" s="191"/>
    </row>
    <row r="36" spans="1:7" x14ac:dyDescent="0.3">
      <c r="A36" s="2" t="s">
        <v>123</v>
      </c>
      <c r="B36" s="9"/>
      <c r="C36" s="12">
        <f>-'Scenario and Data'!C116</f>
        <v>42539.108378220262</v>
      </c>
      <c r="D36" s="11"/>
      <c r="E36" s="12"/>
      <c r="G36" s="190"/>
    </row>
    <row r="37" spans="1:7" x14ac:dyDescent="0.3">
      <c r="A37" s="2" t="s">
        <v>125</v>
      </c>
      <c r="B37" s="9"/>
      <c r="C37" s="10"/>
      <c r="D37" s="11">
        <f>-'Scenario and Data'!B180</f>
        <v>-50000</v>
      </c>
      <c r="E37" s="10"/>
      <c r="G37" s="190"/>
    </row>
    <row r="38" spans="1:7" x14ac:dyDescent="0.3">
      <c r="A38" s="2" t="s">
        <v>154</v>
      </c>
      <c r="B38" s="9"/>
      <c r="C38" s="10"/>
      <c r="D38" s="9"/>
      <c r="E38" s="12">
        <f>-'Scenario and Data'!C163-'Scenario and Data'!E163</f>
        <v>100500</v>
      </c>
      <c r="G38" s="190"/>
    </row>
    <row r="39" spans="1:7" ht="15" thickBot="1" x14ac:dyDescent="0.35">
      <c r="A39" s="3" t="s">
        <v>128</v>
      </c>
      <c r="B39" s="13">
        <f>SUM(B35:B38)</f>
        <v>16158.031898565638</v>
      </c>
      <c r="C39" s="14">
        <f>SUM(C35:C38)</f>
        <v>42539.108378220262</v>
      </c>
      <c r="D39" s="13">
        <f>SUM(D35:D38)</f>
        <v>-50000</v>
      </c>
      <c r="E39" s="14">
        <f>SUM(E35:E38)</f>
        <v>100500</v>
      </c>
      <c r="F39" s="6"/>
      <c r="G39" s="190"/>
    </row>
    <row r="40" spans="1:7" ht="15.6" thickTop="1" thickBot="1" x14ac:dyDescent="0.35">
      <c r="A40" s="3"/>
      <c r="B40" s="27"/>
      <c r="C40" s="27"/>
      <c r="D40" s="27"/>
      <c r="E40" s="27"/>
      <c r="F40" s="6"/>
      <c r="G40" s="190"/>
    </row>
    <row r="41" spans="1:7" ht="15.6" x14ac:dyDescent="0.3">
      <c r="A41" s="104" t="s">
        <v>129</v>
      </c>
      <c r="B41" s="24"/>
      <c r="C41" s="25"/>
      <c r="D41" s="24"/>
      <c r="E41" s="26"/>
      <c r="G41" s="190"/>
    </row>
    <row r="42" spans="1:7" x14ac:dyDescent="0.3">
      <c r="A42" s="2" t="s">
        <v>155</v>
      </c>
      <c r="B42" s="11">
        <f>-B35</f>
        <v>-16158.031898565638</v>
      </c>
      <c r="C42" s="10"/>
      <c r="D42" s="11"/>
      <c r="E42" s="12"/>
      <c r="G42" s="190"/>
    </row>
    <row r="43" spans="1:7" x14ac:dyDescent="0.3">
      <c r="A43" s="2" t="s">
        <v>104</v>
      </c>
      <c r="B43" s="9"/>
      <c r="C43" s="12">
        <f>'Scenario and Data'!C116</f>
        <v>-42539.108378220262</v>
      </c>
      <c r="D43" s="11"/>
      <c r="E43" s="12">
        <f>-E38</f>
        <v>-100500</v>
      </c>
      <c r="G43" s="190"/>
    </row>
    <row r="44" spans="1:7" x14ac:dyDescent="0.3">
      <c r="A44" s="2" t="s">
        <v>156</v>
      </c>
      <c r="B44" s="11">
        <f>-'Scenario and Data'!C90</f>
        <v>50000</v>
      </c>
      <c r="C44" s="12"/>
      <c r="D44" s="11"/>
      <c r="E44" s="12"/>
      <c r="G44" s="190"/>
    </row>
    <row r="45" spans="1:7" x14ac:dyDescent="0.3">
      <c r="A45" s="2" t="s">
        <v>143</v>
      </c>
      <c r="B45" s="11">
        <f>'Scenario and Data'!C90</f>
        <v>-50000</v>
      </c>
      <c r="C45" s="12"/>
      <c r="D45" s="11">
        <f>-D37</f>
        <v>50000</v>
      </c>
      <c r="E45" s="10"/>
      <c r="G45" s="190"/>
    </row>
    <row r="46" spans="1:7" x14ac:dyDescent="0.3">
      <c r="B46" s="11"/>
      <c r="C46" s="10"/>
      <c r="D46" s="9"/>
      <c r="E46" s="12"/>
      <c r="G46" s="190"/>
    </row>
    <row r="47" spans="1:7" ht="15" thickBot="1" x14ac:dyDescent="0.35">
      <c r="A47" s="3" t="s">
        <v>146</v>
      </c>
      <c r="B47" s="13">
        <f>SUM(B42:B45)</f>
        <v>-16158.031898565634</v>
      </c>
      <c r="C47" s="14">
        <f>SUM(C42:C45)</f>
        <v>-42539.108378220262</v>
      </c>
      <c r="D47" s="13">
        <f>SUM(D42:D45)</f>
        <v>50000</v>
      </c>
      <c r="E47" s="14">
        <f>SUM(E42:E45)</f>
        <v>-100500</v>
      </c>
      <c r="F47" s="6"/>
      <c r="G47" s="190"/>
    </row>
    <row r="48" spans="1:7" ht="15" thickTop="1" x14ac:dyDescent="0.3">
      <c r="B48" s="9"/>
      <c r="C48" s="10"/>
      <c r="D48" s="9"/>
      <c r="E48" s="12"/>
      <c r="G48" s="190"/>
    </row>
    <row r="49" spans="1:7" x14ac:dyDescent="0.3">
      <c r="A49" s="2" t="s">
        <v>147</v>
      </c>
      <c r="B49" s="11">
        <f>B26+B42+B44</f>
        <v>-339318.66986987839</v>
      </c>
      <c r="C49" s="10"/>
      <c r="D49" s="9"/>
      <c r="E49" s="12"/>
      <c r="G49" s="190"/>
    </row>
    <row r="50" spans="1:7" x14ac:dyDescent="0.3">
      <c r="A50" s="2" t="s">
        <v>149</v>
      </c>
      <c r="B50" s="11"/>
      <c r="C50" s="12">
        <f>C27+C43</f>
        <v>340312.8670257621</v>
      </c>
      <c r="D50" s="9"/>
      <c r="E50" s="12"/>
      <c r="G50" s="190"/>
    </row>
    <row r="51" spans="1:7" x14ac:dyDescent="0.3">
      <c r="A51" s="2" t="s">
        <v>151</v>
      </c>
      <c r="B51" s="9"/>
      <c r="C51" s="12"/>
      <c r="D51" s="11"/>
      <c r="E51" s="12">
        <f>E28+E43</f>
        <v>2804000</v>
      </c>
      <c r="G51" s="190"/>
    </row>
    <row r="52" spans="1:7" ht="15" thickBot="1" x14ac:dyDescent="0.35">
      <c r="A52" s="3" t="s">
        <v>152</v>
      </c>
      <c r="B52" s="15">
        <f>SUM(B49:B51)</f>
        <v>-339318.66986987839</v>
      </c>
      <c r="C52" s="16">
        <f t="shared" ref="C52:E52" si="1">SUM(C49:C51)</f>
        <v>340312.8670257621</v>
      </c>
      <c r="D52" s="15">
        <f t="shared" si="1"/>
        <v>0</v>
      </c>
      <c r="E52" s="16">
        <f t="shared" si="1"/>
        <v>2804000</v>
      </c>
      <c r="F52" s="6"/>
      <c r="G52" s="190"/>
    </row>
    <row r="53" spans="1:7" x14ac:dyDescent="0.3">
      <c r="G53" s="190"/>
    </row>
    <row r="54" spans="1:7" ht="15" thickBot="1" x14ac:dyDescent="0.35">
      <c r="B54" s="225" t="s">
        <v>114</v>
      </c>
      <c r="C54" s="226"/>
      <c r="D54" s="3" t="s">
        <v>115</v>
      </c>
      <c r="G54" s="190"/>
    </row>
    <row r="55" spans="1:7" ht="16.2" customHeight="1" thickBot="1" x14ac:dyDescent="0.35">
      <c r="A55" s="32" t="s">
        <v>157</v>
      </c>
      <c r="B55" s="29" t="s">
        <v>117</v>
      </c>
      <c r="C55" s="31" t="s">
        <v>118</v>
      </c>
      <c r="D55" s="29" t="s">
        <v>119</v>
      </c>
      <c r="E55" s="30" t="s">
        <v>120</v>
      </c>
      <c r="F55" s="5"/>
      <c r="G55" s="190"/>
    </row>
    <row r="56" spans="1:7" ht="15.6" x14ac:dyDescent="0.3">
      <c r="A56" s="104" t="s">
        <v>121</v>
      </c>
      <c r="B56" s="9"/>
      <c r="D56" s="9"/>
      <c r="E56" s="10"/>
      <c r="G56" s="190"/>
    </row>
    <row r="57" spans="1:7" x14ac:dyDescent="0.3">
      <c r="A57" s="2" t="s">
        <v>122</v>
      </c>
      <c r="B57" s="11">
        <f>'Scenario and Data'!D91</f>
        <v>14465.93349349392</v>
      </c>
      <c r="C57" s="10"/>
      <c r="D57" s="11"/>
      <c r="E57" s="10"/>
      <c r="G57" s="191"/>
    </row>
    <row r="58" spans="1:7" x14ac:dyDescent="0.3">
      <c r="A58" s="2" t="s">
        <v>123</v>
      </c>
      <c r="B58" s="9"/>
      <c r="C58" s="12">
        <f>-'Scenario and Data'!C117</f>
        <v>42539.108378220262</v>
      </c>
      <c r="D58" s="11"/>
      <c r="E58" s="12"/>
      <c r="G58" s="190"/>
    </row>
    <row r="59" spans="1:7" x14ac:dyDescent="0.3">
      <c r="A59" s="2" t="s">
        <v>125</v>
      </c>
      <c r="B59" s="9"/>
      <c r="C59" s="10"/>
      <c r="D59" s="11">
        <f>-'Scenario and Data'!B181</f>
        <v>-50000</v>
      </c>
      <c r="E59" s="10"/>
      <c r="G59" s="190"/>
    </row>
    <row r="60" spans="1:7" x14ac:dyDescent="0.3">
      <c r="A60" s="2" t="s">
        <v>154</v>
      </c>
      <c r="B60" s="9"/>
      <c r="C60" s="10"/>
      <c r="D60" s="9"/>
      <c r="E60" s="12">
        <f>-'Scenario and Data'!C164-'Scenario and Data'!E164</f>
        <v>100500</v>
      </c>
      <c r="G60" s="190"/>
    </row>
    <row r="61" spans="1:7" ht="15" thickBot="1" x14ac:dyDescent="0.35">
      <c r="A61" s="3" t="s">
        <v>128</v>
      </c>
      <c r="B61" s="13">
        <f>SUM(B57:B60)</f>
        <v>14465.93349349392</v>
      </c>
      <c r="C61" s="14">
        <f>SUM(C57:C60)</f>
        <v>42539.108378220262</v>
      </c>
      <c r="D61" s="13">
        <f>SUM(D57:D60)</f>
        <v>-50000</v>
      </c>
      <c r="E61" s="14">
        <f>SUM(E57:E60)</f>
        <v>100500</v>
      </c>
      <c r="F61" s="6"/>
      <c r="G61" s="190"/>
    </row>
    <row r="62" spans="1:7" ht="15.6" thickTop="1" thickBot="1" x14ac:dyDescent="0.35">
      <c r="A62" s="3"/>
      <c r="B62" s="27"/>
      <c r="C62" s="27"/>
      <c r="D62" s="27"/>
      <c r="E62" s="27"/>
      <c r="F62" s="6"/>
      <c r="G62" s="190"/>
    </row>
    <row r="63" spans="1:7" ht="15.6" x14ac:dyDescent="0.3">
      <c r="A63" s="104" t="s">
        <v>129</v>
      </c>
      <c r="B63" s="24"/>
      <c r="C63" s="25"/>
      <c r="D63" s="24"/>
      <c r="E63" s="26"/>
      <c r="G63" s="190"/>
    </row>
    <row r="64" spans="1:7" x14ac:dyDescent="0.3">
      <c r="A64" s="2" t="s">
        <v>155</v>
      </c>
      <c r="B64" s="11">
        <f>-B57</f>
        <v>-14465.93349349392</v>
      </c>
      <c r="C64" s="10"/>
      <c r="D64" s="11"/>
      <c r="E64" s="12"/>
      <c r="G64" s="190"/>
    </row>
    <row r="65" spans="1:7" x14ac:dyDescent="0.3">
      <c r="A65" s="2" t="s">
        <v>104</v>
      </c>
      <c r="B65" s="9"/>
      <c r="C65" s="12">
        <f>'Scenario and Data'!C117</f>
        <v>-42539.108378220262</v>
      </c>
      <c r="D65" s="11"/>
      <c r="E65" s="12">
        <f>-E60</f>
        <v>-100500</v>
      </c>
      <c r="G65" s="190"/>
    </row>
    <row r="66" spans="1:7" x14ac:dyDescent="0.3">
      <c r="A66" s="2" t="s">
        <v>156</v>
      </c>
      <c r="B66" s="11">
        <f>-'Scenario and Data'!C91</f>
        <v>50000</v>
      </c>
      <c r="C66" s="12"/>
      <c r="D66" s="11"/>
      <c r="E66" s="12"/>
      <c r="G66" s="190"/>
    </row>
    <row r="67" spans="1:7" x14ac:dyDescent="0.3">
      <c r="A67" s="2" t="s">
        <v>143</v>
      </c>
      <c r="B67" s="11">
        <f>'Scenario and Data'!C91</f>
        <v>-50000</v>
      </c>
      <c r="C67" s="12"/>
      <c r="D67" s="11">
        <f>-D59</f>
        <v>50000</v>
      </c>
      <c r="E67" s="10"/>
      <c r="G67" s="190"/>
    </row>
    <row r="68" spans="1:7" x14ac:dyDescent="0.3">
      <c r="B68" s="11"/>
      <c r="C68" s="10"/>
      <c r="D68" s="9"/>
      <c r="E68" s="12"/>
      <c r="G68" s="190"/>
    </row>
    <row r="69" spans="1:7" ht="15" thickBot="1" x14ac:dyDescent="0.35">
      <c r="A69" s="3" t="s">
        <v>146</v>
      </c>
      <c r="B69" s="13">
        <f>SUM(B64:B67)</f>
        <v>-14465.933493493918</v>
      </c>
      <c r="C69" s="14">
        <f>SUM(C64:C67)</f>
        <v>-42539.108378220262</v>
      </c>
      <c r="D69" s="13">
        <f>SUM(D64:D67)</f>
        <v>50000</v>
      </c>
      <c r="E69" s="14">
        <f>SUM(E64:E67)</f>
        <v>-100500</v>
      </c>
      <c r="F69" s="6"/>
      <c r="G69" s="190"/>
    </row>
    <row r="70" spans="1:7" ht="15" thickTop="1" x14ac:dyDescent="0.3">
      <c r="B70" s="9"/>
      <c r="C70" s="10"/>
      <c r="D70" s="9"/>
      <c r="E70" s="12"/>
      <c r="G70" s="190"/>
    </row>
    <row r="71" spans="1:7" x14ac:dyDescent="0.3">
      <c r="A71" s="2" t="s">
        <v>147</v>
      </c>
      <c r="B71" s="11">
        <f>B49+B64+B66</f>
        <v>-303784.60336337233</v>
      </c>
      <c r="C71" s="10"/>
      <c r="D71" s="9"/>
      <c r="E71" s="12"/>
      <c r="G71" s="190"/>
    </row>
    <row r="72" spans="1:7" x14ac:dyDescent="0.3">
      <c r="A72" s="2" t="s">
        <v>149</v>
      </c>
      <c r="B72" s="11"/>
      <c r="C72" s="12">
        <f>C50+C65</f>
        <v>297773.75864754186</v>
      </c>
      <c r="D72" s="9"/>
      <c r="E72" s="12"/>
      <c r="G72" s="190"/>
    </row>
    <row r="73" spans="1:7" x14ac:dyDescent="0.3">
      <c r="A73" s="2" t="s">
        <v>151</v>
      </c>
      <c r="B73" s="9"/>
      <c r="C73" s="12"/>
      <c r="D73" s="11"/>
      <c r="E73" s="12">
        <f>E51+E65</f>
        <v>2703500</v>
      </c>
      <c r="G73" s="190"/>
    </row>
    <row r="74" spans="1:7" ht="15" thickBot="1" x14ac:dyDescent="0.35">
      <c r="A74" s="3" t="s">
        <v>152</v>
      </c>
      <c r="B74" s="15">
        <f>SUM(B71:B73)</f>
        <v>-303784.60336337233</v>
      </c>
      <c r="C74" s="16">
        <f t="shared" ref="C74:E74" si="2">SUM(C71:C73)</f>
        <v>297773.75864754186</v>
      </c>
      <c r="D74" s="15">
        <f t="shared" si="2"/>
        <v>0</v>
      </c>
      <c r="E74" s="16">
        <f t="shared" si="2"/>
        <v>2703500</v>
      </c>
      <c r="F74" s="6"/>
      <c r="G74" s="190"/>
    </row>
    <row r="75" spans="1:7" x14ac:dyDescent="0.3">
      <c r="G75" s="190"/>
    </row>
    <row r="76" spans="1:7" ht="15" thickBot="1" x14ac:dyDescent="0.35">
      <c r="B76" s="225" t="s">
        <v>114</v>
      </c>
      <c r="C76" s="226"/>
      <c r="D76" s="3" t="s">
        <v>115</v>
      </c>
      <c r="G76" s="190"/>
    </row>
    <row r="77" spans="1:7" ht="15" thickBot="1" x14ac:dyDescent="0.35">
      <c r="A77" s="32" t="s">
        <v>158</v>
      </c>
      <c r="B77" s="29" t="s">
        <v>117</v>
      </c>
      <c r="C77" s="31" t="s">
        <v>118</v>
      </c>
      <c r="D77" s="29" t="s">
        <v>119</v>
      </c>
      <c r="E77" s="30" t="s">
        <v>120</v>
      </c>
      <c r="F77" s="5"/>
      <c r="G77" s="190"/>
    </row>
    <row r="78" spans="1:7" ht="15.6" x14ac:dyDescent="0.3">
      <c r="A78" s="104" t="s">
        <v>121</v>
      </c>
      <c r="B78" s="9"/>
      <c r="D78" s="9"/>
      <c r="E78" s="10"/>
      <c r="G78" s="190"/>
    </row>
    <row r="79" spans="1:7" x14ac:dyDescent="0.3">
      <c r="A79" s="2" t="s">
        <v>122</v>
      </c>
      <c r="B79" s="11">
        <f>'Scenario and Data'!D92</f>
        <v>12689.230168168617</v>
      </c>
      <c r="C79" s="10"/>
      <c r="D79" s="11"/>
      <c r="E79" s="10"/>
      <c r="G79" s="190"/>
    </row>
    <row r="80" spans="1:7" x14ac:dyDescent="0.3">
      <c r="A80" s="2" t="s">
        <v>123</v>
      </c>
      <c r="B80" s="9"/>
      <c r="C80" s="12">
        <f>-'Scenario and Data'!C118</f>
        <v>42539.108378220262</v>
      </c>
      <c r="D80" s="11"/>
      <c r="E80" s="12"/>
      <c r="G80" s="190"/>
    </row>
    <row r="81" spans="1:7" x14ac:dyDescent="0.3">
      <c r="A81" s="2" t="s">
        <v>125</v>
      </c>
      <c r="B81" s="9"/>
      <c r="C81" s="10"/>
      <c r="D81" s="11">
        <f>-'Scenario and Data'!B182</f>
        <v>-50000</v>
      </c>
      <c r="E81" s="10"/>
      <c r="G81" s="190"/>
    </row>
    <row r="82" spans="1:7" x14ac:dyDescent="0.3">
      <c r="A82" s="2" t="s">
        <v>154</v>
      </c>
      <c r="B82" s="9"/>
      <c r="C82" s="10"/>
      <c r="D82" s="9"/>
      <c r="E82" s="12">
        <f>-'Scenario and Data'!C165-'Scenario and Data'!E165</f>
        <v>100500</v>
      </c>
      <c r="G82" s="190"/>
    </row>
    <row r="83" spans="1:7" ht="15" thickBot="1" x14ac:dyDescent="0.35">
      <c r="A83" s="3" t="s">
        <v>128</v>
      </c>
      <c r="B83" s="13">
        <f>SUM(B79:B82)</f>
        <v>12689.230168168617</v>
      </c>
      <c r="C83" s="14">
        <f>SUM(C79:C82)</f>
        <v>42539.108378220262</v>
      </c>
      <c r="D83" s="13">
        <f>SUM(D79:D82)</f>
        <v>-50000</v>
      </c>
      <c r="E83" s="14">
        <f>SUM(E79:E82)</f>
        <v>100500</v>
      </c>
      <c r="F83" s="6"/>
      <c r="G83" s="190"/>
    </row>
    <row r="84" spans="1:7" ht="15.6" thickTop="1" thickBot="1" x14ac:dyDescent="0.35">
      <c r="A84" s="3"/>
      <c r="B84" s="27"/>
      <c r="C84" s="27"/>
      <c r="D84" s="27"/>
      <c r="E84" s="27"/>
      <c r="F84" s="6"/>
      <c r="G84" s="190"/>
    </row>
    <row r="85" spans="1:7" ht="15.6" x14ac:dyDescent="0.3">
      <c r="A85" s="104" t="s">
        <v>129</v>
      </c>
      <c r="B85" s="24"/>
      <c r="C85" s="25"/>
      <c r="D85" s="24"/>
      <c r="E85" s="26"/>
      <c r="G85" s="190"/>
    </row>
    <row r="86" spans="1:7" x14ac:dyDescent="0.3">
      <c r="A86" s="2" t="s">
        <v>155</v>
      </c>
      <c r="B86" s="11">
        <f>-B79</f>
        <v>-12689.230168168617</v>
      </c>
      <c r="C86" s="10"/>
      <c r="D86" s="11"/>
      <c r="E86" s="12"/>
      <c r="G86" s="190"/>
    </row>
    <row r="87" spans="1:7" x14ac:dyDescent="0.3">
      <c r="A87" s="2" t="s">
        <v>104</v>
      </c>
      <c r="B87" s="9"/>
      <c r="C87" s="12">
        <f>'Scenario and Data'!C118</f>
        <v>-42539.108378220262</v>
      </c>
      <c r="D87" s="11"/>
      <c r="E87" s="12">
        <f>-E82</f>
        <v>-100500</v>
      </c>
      <c r="G87" s="190"/>
    </row>
    <row r="88" spans="1:7" x14ac:dyDescent="0.3">
      <c r="A88" s="2" t="s">
        <v>156</v>
      </c>
      <c r="B88" s="11">
        <f>-'Scenario and Data'!C92</f>
        <v>50000</v>
      </c>
      <c r="C88" s="12"/>
      <c r="D88" s="11"/>
      <c r="E88" s="12"/>
      <c r="G88" s="190"/>
    </row>
    <row r="89" spans="1:7" x14ac:dyDescent="0.3">
      <c r="A89" s="2" t="s">
        <v>143</v>
      </c>
      <c r="B89" s="11">
        <f>'Scenario and Data'!C92</f>
        <v>-50000</v>
      </c>
      <c r="C89" s="12"/>
      <c r="D89" s="11">
        <f>-D81</f>
        <v>50000</v>
      </c>
      <c r="E89" s="10"/>
      <c r="G89" s="190"/>
    </row>
    <row r="90" spans="1:7" x14ac:dyDescent="0.3">
      <c r="B90" s="11"/>
      <c r="C90" s="10"/>
      <c r="D90" s="9"/>
      <c r="E90" s="12"/>
      <c r="G90" s="190"/>
    </row>
    <row r="91" spans="1:7" ht="15" thickBot="1" x14ac:dyDescent="0.35">
      <c r="A91" s="3" t="s">
        <v>146</v>
      </c>
      <c r="B91" s="13">
        <f>SUM(B86:B89)</f>
        <v>-12689.230168168615</v>
      </c>
      <c r="C91" s="14">
        <f>SUM(C86:C89)</f>
        <v>-42539.108378220262</v>
      </c>
      <c r="D91" s="13">
        <f>SUM(D86:D89)</f>
        <v>50000</v>
      </c>
      <c r="E91" s="14">
        <f>SUM(E86:E89)</f>
        <v>-100500</v>
      </c>
      <c r="F91" s="6"/>
      <c r="G91" s="190"/>
    </row>
    <row r="92" spans="1:7" ht="15" thickTop="1" x14ac:dyDescent="0.3">
      <c r="B92" s="9"/>
      <c r="C92" s="10"/>
      <c r="D92" s="9"/>
      <c r="E92" s="12"/>
      <c r="G92" s="190"/>
    </row>
    <row r="93" spans="1:7" x14ac:dyDescent="0.3">
      <c r="A93" s="2" t="s">
        <v>147</v>
      </c>
      <c r="B93" s="11">
        <f>B71+B86+B88</f>
        <v>-266473.83353154093</v>
      </c>
      <c r="C93" s="10"/>
      <c r="D93" s="9"/>
      <c r="E93" s="12"/>
      <c r="G93" s="190"/>
    </row>
    <row r="94" spans="1:7" x14ac:dyDescent="0.3">
      <c r="A94" s="2" t="s">
        <v>149</v>
      </c>
      <c r="B94" s="11"/>
      <c r="C94" s="12">
        <f>C72+C87</f>
        <v>255234.6502693216</v>
      </c>
      <c r="D94" s="9"/>
      <c r="E94" s="12"/>
      <c r="G94" s="190"/>
    </row>
    <row r="95" spans="1:7" x14ac:dyDescent="0.3">
      <c r="A95" s="2" t="s">
        <v>151</v>
      </c>
      <c r="B95" s="9"/>
      <c r="C95" s="12"/>
      <c r="D95" s="11"/>
      <c r="E95" s="12">
        <f>E73+E87</f>
        <v>2603000</v>
      </c>
      <c r="G95" s="190"/>
    </row>
    <row r="96" spans="1:7" ht="15" thickBot="1" x14ac:dyDescent="0.35">
      <c r="A96" s="3" t="s">
        <v>152</v>
      </c>
      <c r="B96" s="15">
        <f>SUM(B93:B95)</f>
        <v>-266473.83353154093</v>
      </c>
      <c r="C96" s="16">
        <f t="shared" ref="C96:E96" si="3">SUM(C93:C95)</f>
        <v>255234.6502693216</v>
      </c>
      <c r="D96" s="15">
        <f t="shared" si="3"/>
        <v>0</v>
      </c>
      <c r="E96" s="16">
        <f t="shared" si="3"/>
        <v>2603000</v>
      </c>
      <c r="F96" s="6"/>
      <c r="G96" s="190"/>
    </row>
    <row r="97" spans="1:7" x14ac:dyDescent="0.3">
      <c r="G97" s="190"/>
    </row>
    <row r="98" spans="1:7" ht="15" thickBot="1" x14ac:dyDescent="0.35">
      <c r="B98" s="225" t="s">
        <v>114</v>
      </c>
      <c r="C98" s="226"/>
      <c r="D98" s="3" t="s">
        <v>115</v>
      </c>
      <c r="G98" s="190"/>
    </row>
    <row r="99" spans="1:7" ht="18.75" customHeight="1" thickBot="1" x14ac:dyDescent="0.35">
      <c r="A99" s="32" t="s">
        <v>159</v>
      </c>
      <c r="B99" s="29" t="s">
        <v>117</v>
      </c>
      <c r="C99" s="31" t="s">
        <v>118</v>
      </c>
      <c r="D99" s="29" t="s">
        <v>119</v>
      </c>
      <c r="E99" s="30" t="s">
        <v>120</v>
      </c>
      <c r="F99" s="5"/>
      <c r="G99" s="190"/>
    </row>
    <row r="100" spans="1:7" ht="15.6" x14ac:dyDescent="0.3">
      <c r="A100" s="104" t="s">
        <v>121</v>
      </c>
      <c r="B100" s="9"/>
      <c r="D100" s="9"/>
      <c r="E100" s="10"/>
      <c r="G100" s="190"/>
    </row>
    <row r="101" spans="1:7" x14ac:dyDescent="0.3">
      <c r="A101" s="2" t="s">
        <v>122</v>
      </c>
      <c r="B101" s="11">
        <f>'Scenario and Data'!D93</f>
        <v>10823.691676577047</v>
      </c>
      <c r="C101" s="10"/>
      <c r="D101" s="11"/>
      <c r="E101" s="10"/>
      <c r="G101" s="190"/>
    </row>
    <row r="102" spans="1:7" x14ac:dyDescent="0.3">
      <c r="A102" s="2" t="s">
        <v>123</v>
      </c>
      <c r="B102" s="9"/>
      <c r="C102" s="12">
        <f>-'Scenario and Data'!C119</f>
        <v>42539.108378220262</v>
      </c>
      <c r="D102" s="11"/>
      <c r="E102" s="12"/>
      <c r="G102" s="190"/>
    </row>
    <row r="103" spans="1:7" x14ac:dyDescent="0.3">
      <c r="A103" s="2" t="s">
        <v>125</v>
      </c>
      <c r="B103" s="9"/>
      <c r="C103" s="10"/>
      <c r="D103" s="11">
        <f>-'Scenario and Data'!B183</f>
        <v>-50000</v>
      </c>
      <c r="E103" s="10"/>
      <c r="G103" s="190"/>
    </row>
    <row r="104" spans="1:7" x14ac:dyDescent="0.3">
      <c r="A104" s="2" t="s">
        <v>154</v>
      </c>
      <c r="B104" s="9"/>
      <c r="C104" s="10"/>
      <c r="D104" s="9"/>
      <c r="E104" s="12">
        <f>-'Scenario and Data'!C166-'Scenario and Data'!E166</f>
        <v>100500</v>
      </c>
      <c r="G104" s="190"/>
    </row>
    <row r="105" spans="1:7" ht="15" thickBot="1" x14ac:dyDescent="0.35">
      <c r="A105" s="3" t="s">
        <v>128</v>
      </c>
      <c r="B105" s="13">
        <f>SUM(B101:B104)</f>
        <v>10823.691676577047</v>
      </c>
      <c r="C105" s="14">
        <f>SUM(C101:C104)</f>
        <v>42539.108378220262</v>
      </c>
      <c r="D105" s="13">
        <f>SUM(D101:D104)</f>
        <v>-50000</v>
      </c>
      <c r="E105" s="14">
        <f>SUM(E101:E104)</f>
        <v>100500</v>
      </c>
      <c r="F105" s="6"/>
    </row>
    <row r="106" spans="1:7" ht="15.6" thickTop="1" thickBot="1" x14ac:dyDescent="0.35">
      <c r="A106" s="3"/>
      <c r="B106" s="27"/>
      <c r="C106" s="27"/>
      <c r="D106" s="27"/>
      <c r="E106" s="27"/>
      <c r="F106" s="6"/>
    </row>
    <row r="107" spans="1:7" ht="15.6" x14ac:dyDescent="0.3">
      <c r="A107" s="104" t="s">
        <v>129</v>
      </c>
      <c r="B107" s="24"/>
      <c r="C107" s="25"/>
      <c r="D107" s="24"/>
      <c r="E107" s="26"/>
    </row>
    <row r="108" spans="1:7" x14ac:dyDescent="0.3">
      <c r="A108" s="2" t="s">
        <v>155</v>
      </c>
      <c r="B108" s="11">
        <f>-B101</f>
        <v>-10823.691676577047</v>
      </c>
      <c r="C108" s="10"/>
      <c r="D108" s="11"/>
      <c r="E108" s="12"/>
    </row>
    <row r="109" spans="1:7" x14ac:dyDescent="0.3">
      <c r="A109" s="2" t="s">
        <v>104</v>
      </c>
      <c r="B109" s="9"/>
      <c r="C109" s="12">
        <f>'Scenario and Data'!C119</f>
        <v>-42539.108378220262</v>
      </c>
      <c r="D109" s="11"/>
      <c r="E109" s="12">
        <f>-E104</f>
        <v>-100500</v>
      </c>
    </row>
    <row r="110" spans="1:7" x14ac:dyDescent="0.3">
      <c r="A110" s="2" t="s">
        <v>156</v>
      </c>
      <c r="B110" s="11">
        <f>-'Scenario and Data'!C93</f>
        <v>50000</v>
      </c>
      <c r="C110" s="12"/>
      <c r="D110" s="11"/>
      <c r="E110" s="12"/>
    </row>
    <row r="111" spans="1:7" x14ac:dyDescent="0.3">
      <c r="A111" s="2" t="s">
        <v>143</v>
      </c>
      <c r="B111" s="11">
        <f>'Scenario and Data'!C93</f>
        <v>-50000</v>
      </c>
      <c r="C111" s="12"/>
      <c r="D111" s="11">
        <f>-D103</f>
        <v>50000</v>
      </c>
      <c r="E111" s="10"/>
    </row>
    <row r="112" spans="1:7" x14ac:dyDescent="0.3">
      <c r="B112" s="11"/>
      <c r="C112" s="10"/>
      <c r="D112" s="9"/>
      <c r="E112" s="12"/>
    </row>
    <row r="113" spans="1:6" ht="15" thickBot="1" x14ac:dyDescent="0.35">
      <c r="A113" s="3" t="s">
        <v>146</v>
      </c>
      <c r="B113" s="13">
        <f>SUM(B108:B111)</f>
        <v>-10823.691676577044</v>
      </c>
      <c r="C113" s="14">
        <f>SUM(C108:C111)</f>
        <v>-42539.108378220262</v>
      </c>
      <c r="D113" s="13">
        <f>SUM(D108:D111)</f>
        <v>50000</v>
      </c>
      <c r="E113" s="14">
        <f>SUM(E108:E111)</f>
        <v>-100500</v>
      </c>
      <c r="F113" s="6"/>
    </row>
    <row r="114" spans="1:6" ht="15" thickTop="1" x14ac:dyDescent="0.3">
      <c r="B114" s="9"/>
      <c r="C114" s="10"/>
      <c r="D114" s="9"/>
      <c r="E114" s="12"/>
    </row>
    <row r="115" spans="1:6" x14ac:dyDescent="0.3">
      <c r="A115" s="2" t="s">
        <v>147</v>
      </c>
      <c r="B115" s="11">
        <f>B93+B108+B110</f>
        <v>-227297.52520811796</v>
      </c>
      <c r="C115" s="10"/>
      <c r="D115" s="9"/>
      <c r="E115" s="12"/>
    </row>
    <row r="116" spans="1:6" x14ac:dyDescent="0.3">
      <c r="A116" s="2" t="s">
        <v>149</v>
      </c>
      <c r="B116" s="11"/>
      <c r="C116" s="12">
        <f>C94+C109</f>
        <v>212695.54189110134</v>
      </c>
      <c r="D116" s="9"/>
      <c r="E116" s="12"/>
    </row>
    <row r="117" spans="1:6" x14ac:dyDescent="0.3">
      <c r="A117" s="2" t="s">
        <v>151</v>
      </c>
      <c r="B117" s="9"/>
      <c r="C117" s="12"/>
      <c r="D117" s="11"/>
      <c r="E117" s="12">
        <f>E95+E109</f>
        <v>2502500</v>
      </c>
    </row>
    <row r="118" spans="1:6" ht="15" thickBot="1" x14ac:dyDescent="0.35">
      <c r="A118" s="3" t="s">
        <v>152</v>
      </c>
      <c r="B118" s="15">
        <f>SUM(B115:B117)</f>
        <v>-227297.52520811796</v>
      </c>
      <c r="C118" s="16">
        <f t="shared" ref="C118:E118" si="4">SUM(C115:C117)</f>
        <v>212695.54189110134</v>
      </c>
      <c r="D118" s="15">
        <f t="shared" si="4"/>
        <v>0</v>
      </c>
      <c r="E118" s="16">
        <f t="shared" si="4"/>
        <v>2502500</v>
      </c>
      <c r="F118" s="6"/>
    </row>
    <row r="120" spans="1:6" ht="15" thickBot="1" x14ac:dyDescent="0.35">
      <c r="B120" s="225" t="s">
        <v>114</v>
      </c>
      <c r="C120" s="226"/>
      <c r="D120" s="3" t="s">
        <v>115</v>
      </c>
    </row>
    <row r="121" spans="1:6" ht="19.2" customHeight="1" thickBot="1" x14ac:dyDescent="0.35">
      <c r="A121" s="32" t="s">
        <v>160</v>
      </c>
      <c r="B121" s="29" t="s">
        <v>117</v>
      </c>
      <c r="C121" s="31" t="s">
        <v>118</v>
      </c>
      <c r="D121" s="29" t="s">
        <v>119</v>
      </c>
      <c r="E121" s="30" t="s">
        <v>120</v>
      </c>
      <c r="F121" s="5"/>
    </row>
    <row r="122" spans="1:6" ht="15.6" x14ac:dyDescent="0.3">
      <c r="A122" s="104" t="s">
        <v>121</v>
      </c>
      <c r="B122" s="9"/>
      <c r="D122" s="9"/>
      <c r="E122" s="10"/>
    </row>
    <row r="123" spans="1:6" x14ac:dyDescent="0.3">
      <c r="A123" s="2" t="s">
        <v>122</v>
      </c>
      <c r="B123" s="11">
        <f>'Scenario and Data'!D94</f>
        <v>8864.8762604058993</v>
      </c>
      <c r="C123" s="10"/>
      <c r="D123" s="11"/>
      <c r="E123" s="10"/>
    </row>
    <row r="124" spans="1:6" x14ac:dyDescent="0.3">
      <c r="A124" s="2" t="s">
        <v>123</v>
      </c>
      <c r="B124" s="9"/>
      <c r="C124" s="12">
        <f>-'Scenario and Data'!C120</f>
        <v>42539.108378220262</v>
      </c>
      <c r="D124" s="11"/>
      <c r="E124" s="12"/>
    </row>
    <row r="125" spans="1:6" x14ac:dyDescent="0.3">
      <c r="A125" s="2" t="s">
        <v>125</v>
      </c>
      <c r="B125" s="9"/>
      <c r="C125" s="10"/>
      <c r="D125" s="11">
        <f>-'Scenario and Data'!B184</f>
        <v>-50000</v>
      </c>
      <c r="E125" s="10"/>
    </row>
    <row r="126" spans="1:6" x14ac:dyDescent="0.3">
      <c r="A126" s="2" t="s">
        <v>154</v>
      </c>
      <c r="B126" s="9"/>
      <c r="C126" s="10"/>
      <c r="D126" s="9"/>
      <c r="E126" s="12">
        <f>-'Scenario and Data'!C167-'Scenario and Data'!E167</f>
        <v>100500</v>
      </c>
    </row>
    <row r="127" spans="1:6" ht="15" thickBot="1" x14ac:dyDescent="0.35">
      <c r="A127" s="3" t="s">
        <v>128</v>
      </c>
      <c r="B127" s="13">
        <f>SUM(B123:B126)</f>
        <v>8864.8762604058993</v>
      </c>
      <c r="C127" s="14">
        <f>SUM(C123:C126)</f>
        <v>42539.108378220262</v>
      </c>
      <c r="D127" s="13">
        <f>SUM(D123:D126)</f>
        <v>-50000</v>
      </c>
      <c r="E127" s="14">
        <f>SUM(E123:E126)</f>
        <v>100500</v>
      </c>
      <c r="F127" s="6"/>
    </row>
    <row r="128" spans="1:6" ht="15.6" thickTop="1" thickBot="1" x14ac:dyDescent="0.35">
      <c r="A128" s="3"/>
      <c r="B128" s="27"/>
      <c r="C128" s="27"/>
      <c r="D128" s="27"/>
      <c r="E128" s="27"/>
      <c r="F128" s="6"/>
    </row>
    <row r="129" spans="1:6" ht="15.6" x14ac:dyDescent="0.3">
      <c r="A129" s="104" t="s">
        <v>129</v>
      </c>
      <c r="B129" s="24"/>
      <c r="C129" s="25"/>
      <c r="D129" s="24"/>
      <c r="E129" s="26"/>
    </row>
    <row r="130" spans="1:6" x14ac:dyDescent="0.3">
      <c r="A130" s="2" t="s">
        <v>155</v>
      </c>
      <c r="B130" s="11">
        <f>-B123</f>
        <v>-8864.8762604058993</v>
      </c>
      <c r="C130" s="10"/>
      <c r="D130" s="11"/>
      <c r="E130" s="12"/>
    </row>
    <row r="131" spans="1:6" x14ac:dyDescent="0.3">
      <c r="A131" s="2" t="s">
        <v>104</v>
      </c>
      <c r="B131" s="9"/>
      <c r="C131" s="12">
        <f>'Scenario and Data'!C120</f>
        <v>-42539.108378220262</v>
      </c>
      <c r="D131" s="11"/>
      <c r="E131" s="12">
        <f>-E126</f>
        <v>-100500</v>
      </c>
    </row>
    <row r="132" spans="1:6" x14ac:dyDescent="0.3">
      <c r="A132" s="2" t="s">
        <v>156</v>
      </c>
      <c r="B132" s="11">
        <f>-'Scenario and Data'!C94</f>
        <v>50000</v>
      </c>
      <c r="C132" s="12"/>
      <c r="D132" s="11"/>
      <c r="E132" s="12"/>
    </row>
    <row r="133" spans="1:6" x14ac:dyDescent="0.3">
      <c r="A133" s="2" t="s">
        <v>143</v>
      </c>
      <c r="B133" s="11">
        <f>'Scenario and Data'!C94</f>
        <v>-50000</v>
      </c>
      <c r="C133" s="12"/>
      <c r="D133" s="11">
        <f>-D125</f>
        <v>50000</v>
      </c>
      <c r="E133" s="10"/>
    </row>
    <row r="134" spans="1:6" x14ac:dyDescent="0.3">
      <c r="B134" s="11"/>
      <c r="C134" s="10"/>
      <c r="D134" s="9"/>
      <c r="E134" s="12"/>
    </row>
    <row r="135" spans="1:6" ht="15" thickBot="1" x14ac:dyDescent="0.35">
      <c r="A135" s="3" t="s">
        <v>146</v>
      </c>
      <c r="B135" s="13">
        <f>SUM(B130:B133)</f>
        <v>-8864.8762604059011</v>
      </c>
      <c r="C135" s="14">
        <f>SUM(C130:C133)</f>
        <v>-42539.108378220262</v>
      </c>
      <c r="D135" s="13">
        <f>SUM(D130:D133)</f>
        <v>50000</v>
      </c>
      <c r="E135" s="14">
        <f>SUM(E130:E133)</f>
        <v>-100500</v>
      </c>
      <c r="F135" s="6"/>
    </row>
    <row r="136" spans="1:6" ht="15" thickTop="1" x14ac:dyDescent="0.3">
      <c r="B136" s="9"/>
      <c r="C136" s="10"/>
      <c r="D136" s="9"/>
      <c r="E136" s="12"/>
    </row>
    <row r="137" spans="1:6" x14ac:dyDescent="0.3">
      <c r="A137" s="2" t="s">
        <v>147</v>
      </c>
      <c r="B137" s="11">
        <f>B115+B130+B132</f>
        <v>-186162.40146852387</v>
      </c>
      <c r="C137" s="10"/>
      <c r="D137" s="9"/>
      <c r="E137" s="12"/>
    </row>
    <row r="138" spans="1:6" x14ac:dyDescent="0.3">
      <c r="A138" s="2" t="s">
        <v>149</v>
      </c>
      <c r="B138" s="11"/>
      <c r="C138" s="12">
        <f>C116+C131</f>
        <v>170156.43351288108</v>
      </c>
      <c r="D138" s="9"/>
      <c r="E138" s="12"/>
    </row>
    <row r="139" spans="1:6" x14ac:dyDescent="0.3">
      <c r="A139" s="2" t="s">
        <v>151</v>
      </c>
      <c r="B139" s="9"/>
      <c r="C139" s="12"/>
      <c r="D139" s="11"/>
      <c r="E139" s="12">
        <f>E117+E131</f>
        <v>2402000</v>
      </c>
    </row>
    <row r="140" spans="1:6" ht="15" thickBot="1" x14ac:dyDescent="0.35">
      <c r="A140" s="3" t="s">
        <v>152</v>
      </c>
      <c r="B140" s="15">
        <f>SUM(B137:B139)</f>
        <v>-186162.40146852387</v>
      </c>
      <c r="C140" s="16">
        <f t="shared" ref="C140:E140" si="5">SUM(C137:C139)</f>
        <v>170156.43351288108</v>
      </c>
      <c r="D140" s="15">
        <f t="shared" si="5"/>
        <v>0</v>
      </c>
      <c r="E140" s="16">
        <f t="shared" si="5"/>
        <v>2402000</v>
      </c>
      <c r="F140" s="6"/>
    </row>
    <row r="142" spans="1:6" ht="15" thickBot="1" x14ac:dyDescent="0.35">
      <c r="B142" s="225" t="s">
        <v>114</v>
      </c>
      <c r="C142" s="226"/>
      <c r="D142" s="3" t="s">
        <v>115</v>
      </c>
    </row>
    <row r="143" spans="1:6" ht="17.100000000000001" customHeight="1" thickBot="1" x14ac:dyDescent="0.35">
      <c r="A143" s="32" t="s">
        <v>161</v>
      </c>
      <c r="B143" s="29" t="s">
        <v>117</v>
      </c>
      <c r="C143" s="31" t="s">
        <v>118</v>
      </c>
      <c r="D143" s="29" t="s">
        <v>119</v>
      </c>
      <c r="E143" s="30" t="s">
        <v>120</v>
      </c>
      <c r="F143" s="5"/>
    </row>
    <row r="144" spans="1:6" ht="15.6" x14ac:dyDescent="0.3">
      <c r="A144" s="104" t="s">
        <v>121</v>
      </c>
      <c r="B144" s="9"/>
      <c r="D144" s="9"/>
      <c r="E144" s="10"/>
    </row>
    <row r="145" spans="1:7" x14ac:dyDescent="0.3">
      <c r="A145" s="2" t="s">
        <v>122</v>
      </c>
      <c r="B145" s="11">
        <f>'Scenario and Data'!D95</f>
        <v>6808.1200734261938</v>
      </c>
      <c r="C145" s="10"/>
      <c r="D145" s="11"/>
      <c r="E145" s="10"/>
    </row>
    <row r="146" spans="1:7" x14ac:dyDescent="0.3">
      <c r="A146" s="2" t="s">
        <v>123</v>
      </c>
      <c r="B146" s="9"/>
      <c r="C146" s="12">
        <f>-'Scenario and Data'!C121</f>
        <v>42539.108378220262</v>
      </c>
      <c r="D146" s="11"/>
      <c r="E146" s="12"/>
      <c r="G146"/>
    </row>
    <row r="147" spans="1:7" x14ac:dyDescent="0.3">
      <c r="A147" s="2" t="s">
        <v>125</v>
      </c>
      <c r="B147" s="9"/>
      <c r="C147" s="10"/>
      <c r="D147" s="11">
        <f>-'Scenario and Data'!B185</f>
        <v>-50000</v>
      </c>
      <c r="E147" s="10"/>
      <c r="G147"/>
    </row>
    <row r="148" spans="1:7" x14ac:dyDescent="0.3">
      <c r="A148" s="2" t="s">
        <v>154</v>
      </c>
      <c r="B148" s="9"/>
      <c r="C148" s="10"/>
      <c r="D148" s="9"/>
      <c r="E148" s="12">
        <f>-'Scenario and Data'!C168-'Scenario and Data'!E168</f>
        <v>102000</v>
      </c>
      <c r="G148"/>
    </row>
    <row r="149" spans="1:7" x14ac:dyDescent="0.3">
      <c r="A149" s="2" t="s">
        <v>216</v>
      </c>
      <c r="B149" s="11">
        <f>-B158</f>
        <v>-142970.52154195006</v>
      </c>
      <c r="C149" s="10"/>
      <c r="D149" s="9"/>
      <c r="E149" s="12"/>
      <c r="G149"/>
    </row>
    <row r="150" spans="1:7" x14ac:dyDescent="0.3">
      <c r="A150" s="2" t="s">
        <v>215</v>
      </c>
      <c r="B150" s="11">
        <f>-C158</f>
        <v>127617.32513466082</v>
      </c>
      <c r="C150" s="10"/>
      <c r="D150" s="9"/>
      <c r="E150" s="12"/>
      <c r="G150"/>
    </row>
    <row r="151" spans="1:7" ht="15" thickBot="1" x14ac:dyDescent="0.35">
      <c r="A151" s="3" t="s">
        <v>128</v>
      </c>
      <c r="B151" s="13">
        <f>SUM(B145:B150)</f>
        <v>-8545.0763338630495</v>
      </c>
      <c r="C151" s="14">
        <f>SUM(C145:C148)</f>
        <v>42539.108378220262</v>
      </c>
      <c r="D151" s="13">
        <f>SUM(D145:D148)</f>
        <v>-50000</v>
      </c>
      <c r="E151" s="14">
        <f>SUM(E145:E148)</f>
        <v>102000</v>
      </c>
      <c r="F151" s="6"/>
      <c r="G151"/>
    </row>
    <row r="152" spans="1:7" ht="15.6" thickTop="1" thickBot="1" x14ac:dyDescent="0.35">
      <c r="A152" s="3"/>
      <c r="B152" s="27"/>
      <c r="C152" s="27"/>
      <c r="D152" s="27"/>
      <c r="E152" s="27"/>
      <c r="F152" s="6"/>
      <c r="G152"/>
    </row>
    <row r="153" spans="1:7" ht="15.6" x14ac:dyDescent="0.3">
      <c r="A153" s="104" t="s">
        <v>129</v>
      </c>
      <c r="B153" s="24"/>
      <c r="C153" s="25"/>
      <c r="D153" s="24"/>
      <c r="E153" s="26"/>
      <c r="G153"/>
    </row>
    <row r="154" spans="1:7" x14ac:dyDescent="0.3">
      <c r="A154" s="2" t="s">
        <v>155</v>
      </c>
      <c r="B154" s="11">
        <f>-B145</f>
        <v>-6808.1200734261938</v>
      </c>
      <c r="C154" s="10"/>
      <c r="D154" s="11"/>
      <c r="E154" s="12"/>
      <c r="G154"/>
    </row>
    <row r="155" spans="1:7" x14ac:dyDescent="0.3">
      <c r="A155" s="2" t="s">
        <v>104</v>
      </c>
      <c r="B155" s="9"/>
      <c r="C155" s="12">
        <f>'Scenario and Data'!C121</f>
        <v>-42539.108378220262</v>
      </c>
      <c r="D155" s="11"/>
      <c r="E155" s="12">
        <f>-E148</f>
        <v>-102000</v>
      </c>
      <c r="G155"/>
    </row>
    <row r="156" spans="1:7" x14ac:dyDescent="0.3">
      <c r="A156" s="2" t="s">
        <v>156</v>
      </c>
      <c r="B156" s="11">
        <f>-'Scenario and Data'!C95</f>
        <v>50000</v>
      </c>
      <c r="C156" s="12"/>
      <c r="D156" s="11"/>
      <c r="E156" s="12"/>
      <c r="G156"/>
    </row>
    <row r="157" spans="1:7" x14ac:dyDescent="0.3">
      <c r="A157" s="2" t="s">
        <v>143</v>
      </c>
      <c r="B157" s="11">
        <f>'Scenario and Data'!C95</f>
        <v>-50000</v>
      </c>
      <c r="C157" s="12"/>
      <c r="D157" s="11">
        <f>-D147</f>
        <v>50000</v>
      </c>
      <c r="E157" s="10"/>
      <c r="G157"/>
    </row>
    <row r="158" spans="1:7" x14ac:dyDescent="0.3">
      <c r="A158" s="2" t="s">
        <v>162</v>
      </c>
      <c r="B158" s="11">
        <f>'Scenario and Data'!B142</f>
        <v>142970.52154195006</v>
      </c>
      <c r="C158" s="12">
        <f>-'Scenario and Data'!B137</f>
        <v>-127617.32513466082</v>
      </c>
      <c r="D158" s="11"/>
      <c r="E158" s="10"/>
      <c r="G158" t="s">
        <v>163</v>
      </c>
    </row>
    <row r="159" spans="1:7" x14ac:dyDescent="0.3">
      <c r="B159" s="11"/>
      <c r="C159" s="10"/>
      <c r="D159" s="9"/>
      <c r="E159" s="12"/>
      <c r="G159"/>
    </row>
    <row r="160" spans="1:7" ht="15" thickBot="1" x14ac:dyDescent="0.35">
      <c r="A160" s="3" t="s">
        <v>146</v>
      </c>
      <c r="B160" s="13">
        <f>SUM(B154:B157)</f>
        <v>-6808.1200734261947</v>
      </c>
      <c r="C160" s="14">
        <f>SUM(C154:C157)</f>
        <v>-42539.108378220262</v>
      </c>
      <c r="D160" s="13">
        <f>SUM(D154:D157)</f>
        <v>50000</v>
      </c>
      <c r="E160" s="14">
        <f>SUM(E154:E157)</f>
        <v>-102000</v>
      </c>
      <c r="F160" s="6"/>
    </row>
    <row r="161" spans="1:6" ht="15" thickTop="1" x14ac:dyDescent="0.3">
      <c r="B161" s="9"/>
      <c r="C161" s="10"/>
      <c r="D161" s="9"/>
      <c r="E161" s="12"/>
    </row>
    <row r="162" spans="1:6" x14ac:dyDescent="0.3">
      <c r="A162" s="2" t="s">
        <v>147</v>
      </c>
      <c r="B162" s="11">
        <f>B137+B154+B156+B158</f>
        <v>0</v>
      </c>
      <c r="C162" s="10"/>
      <c r="D162" s="9"/>
      <c r="E162" s="12"/>
    </row>
    <row r="163" spans="1:6" x14ac:dyDescent="0.3">
      <c r="A163" s="2" t="s">
        <v>149</v>
      </c>
      <c r="B163" s="11"/>
      <c r="C163" s="12">
        <f>C138+C155+C158</f>
        <v>0</v>
      </c>
      <c r="D163" s="9"/>
      <c r="E163" s="12"/>
    </row>
    <row r="164" spans="1:6" x14ac:dyDescent="0.3">
      <c r="A164" s="2" t="s">
        <v>151</v>
      </c>
      <c r="B164" s="9"/>
      <c r="C164" s="12"/>
      <c r="D164" s="11"/>
      <c r="E164" s="12">
        <f>E139+E155</f>
        <v>2300000</v>
      </c>
    </row>
    <row r="165" spans="1:6" ht="15" thickBot="1" x14ac:dyDescent="0.35">
      <c r="A165" s="3" t="s">
        <v>152</v>
      </c>
      <c r="B165" s="15">
        <f>SUM(B162:B164)</f>
        <v>0</v>
      </c>
      <c r="C165" s="16">
        <f t="shared" ref="C165:E165" si="6">SUM(C162:C164)</f>
        <v>0</v>
      </c>
      <c r="D165" s="15">
        <f t="shared" si="6"/>
        <v>0</v>
      </c>
      <c r="E165" s="16">
        <f t="shared" si="6"/>
        <v>2300000</v>
      </c>
      <c r="F165" s="6"/>
    </row>
    <row r="167" spans="1:6" ht="15" thickBot="1" x14ac:dyDescent="0.35">
      <c r="B167" s="225" t="s">
        <v>114</v>
      </c>
      <c r="C167" s="226"/>
      <c r="D167" s="3" t="s">
        <v>115</v>
      </c>
    </row>
    <row r="168" spans="1:6" ht="15" thickBot="1" x14ac:dyDescent="0.35">
      <c r="A168" s="32" t="s">
        <v>164</v>
      </c>
      <c r="B168" s="29" t="s">
        <v>117</v>
      </c>
      <c r="C168" s="31" t="s">
        <v>118</v>
      </c>
      <c r="D168" s="29" t="s">
        <v>119</v>
      </c>
      <c r="E168" s="30" t="s">
        <v>120</v>
      </c>
      <c r="F168" s="5"/>
    </row>
    <row r="169" spans="1:6" ht="15.6" x14ac:dyDescent="0.3">
      <c r="A169" s="104" t="s">
        <v>121</v>
      </c>
      <c r="B169" s="9"/>
      <c r="D169" s="9"/>
      <c r="E169" s="10"/>
    </row>
    <row r="170" spans="1:6" x14ac:dyDescent="0.3">
      <c r="A170" s="2" t="s">
        <v>122</v>
      </c>
      <c r="B170" s="11">
        <v>0</v>
      </c>
      <c r="C170" s="10"/>
      <c r="D170" s="11"/>
      <c r="E170" s="10"/>
    </row>
    <row r="171" spans="1:6" x14ac:dyDescent="0.3">
      <c r="A171" s="2" t="s">
        <v>123</v>
      </c>
      <c r="B171" s="9"/>
      <c r="C171" s="12">
        <v>0</v>
      </c>
      <c r="D171" s="11"/>
      <c r="E171" s="12"/>
    </row>
    <row r="172" spans="1:6" x14ac:dyDescent="0.3">
      <c r="A172" s="2" t="s">
        <v>125</v>
      </c>
      <c r="B172" s="9"/>
      <c r="C172" s="10"/>
      <c r="D172" s="11">
        <f>-'Scenario and Data'!B186</f>
        <v>0</v>
      </c>
      <c r="E172" s="10"/>
    </row>
    <row r="173" spans="1:6" x14ac:dyDescent="0.3">
      <c r="A173" s="2" t="s">
        <v>154</v>
      </c>
      <c r="B173" s="9"/>
      <c r="C173" s="10"/>
      <c r="D173" s="9"/>
      <c r="E173" s="12">
        <f>-'Scenario and Data'!C169-'Scenario and Data'!E169</f>
        <v>100000</v>
      </c>
    </row>
    <row r="174" spans="1:6" ht="15" thickBot="1" x14ac:dyDescent="0.35">
      <c r="A174" s="3" t="s">
        <v>128</v>
      </c>
      <c r="B174" s="13">
        <f>SUM(B170:B173)</f>
        <v>0</v>
      </c>
      <c r="C174" s="14">
        <f>SUM(C170:C173)</f>
        <v>0</v>
      </c>
      <c r="D174" s="13">
        <f>SUM(D170:D173)</f>
        <v>0</v>
      </c>
      <c r="E174" s="14">
        <f>SUM(E170:E173)</f>
        <v>100000</v>
      </c>
      <c r="F174" s="6"/>
    </row>
    <row r="175" spans="1:6" ht="15.6" thickTop="1" thickBot="1" x14ac:dyDescent="0.35">
      <c r="A175" s="3"/>
      <c r="B175" s="27"/>
      <c r="C175" s="27"/>
      <c r="D175" s="27"/>
      <c r="E175" s="27"/>
      <c r="F175" s="6"/>
    </row>
    <row r="176" spans="1:6" ht="15.6" x14ac:dyDescent="0.3">
      <c r="A176" s="104" t="s">
        <v>129</v>
      </c>
      <c r="B176" s="24"/>
      <c r="C176" s="25"/>
      <c r="D176" s="24"/>
      <c r="E176" s="26"/>
    </row>
    <row r="177" spans="1:6" x14ac:dyDescent="0.3">
      <c r="A177" s="2" t="s">
        <v>155</v>
      </c>
      <c r="B177" s="11">
        <f>-B170</f>
        <v>0</v>
      </c>
      <c r="C177" s="10"/>
      <c r="D177" s="11"/>
      <c r="E177" s="12"/>
    </row>
    <row r="178" spans="1:6" x14ac:dyDescent="0.3">
      <c r="A178" s="2" t="s">
        <v>104</v>
      </c>
      <c r="B178" s="9"/>
      <c r="C178" s="12">
        <v>0</v>
      </c>
      <c r="D178" s="11"/>
      <c r="E178" s="12">
        <f>-E173</f>
        <v>-100000</v>
      </c>
    </row>
    <row r="179" spans="1:6" x14ac:dyDescent="0.3">
      <c r="A179" s="2" t="s">
        <v>156</v>
      </c>
      <c r="B179" s="11">
        <v>0</v>
      </c>
      <c r="C179" s="12"/>
      <c r="D179" s="11"/>
      <c r="E179" s="12"/>
    </row>
    <row r="180" spans="1:6" x14ac:dyDescent="0.3">
      <c r="A180" s="2" t="s">
        <v>143</v>
      </c>
      <c r="B180" s="11">
        <v>0</v>
      </c>
      <c r="C180" s="12"/>
      <c r="D180" s="11">
        <f>-D172</f>
        <v>0</v>
      </c>
      <c r="E180" s="10"/>
    </row>
    <row r="181" spans="1:6" x14ac:dyDescent="0.3">
      <c r="B181" s="11"/>
      <c r="C181" s="10"/>
      <c r="D181" s="9"/>
      <c r="E181" s="12"/>
    </row>
    <row r="182" spans="1:6" ht="15" thickBot="1" x14ac:dyDescent="0.35">
      <c r="A182" s="3" t="s">
        <v>146</v>
      </c>
      <c r="B182" s="13">
        <f>SUM(B177:B180)</f>
        <v>0</v>
      </c>
      <c r="C182" s="14">
        <f>SUM(C177:C180)</f>
        <v>0</v>
      </c>
      <c r="D182" s="13">
        <f>SUM(D177:D180)</f>
        <v>0</v>
      </c>
      <c r="E182" s="14">
        <f>SUM(E177:E180)</f>
        <v>-100000</v>
      </c>
      <c r="F182" s="6"/>
    </row>
    <row r="183" spans="1:6" ht="15" thickTop="1" x14ac:dyDescent="0.3">
      <c r="B183" s="9"/>
      <c r="C183" s="10"/>
      <c r="D183" s="9"/>
      <c r="E183" s="12"/>
    </row>
    <row r="184" spans="1:6" x14ac:dyDescent="0.3">
      <c r="A184" s="2" t="s">
        <v>147</v>
      </c>
      <c r="B184" s="11">
        <f>B162+B177+B179</f>
        <v>0</v>
      </c>
      <c r="C184" s="10"/>
      <c r="D184" s="9"/>
      <c r="E184" s="12"/>
    </row>
    <row r="185" spans="1:6" x14ac:dyDescent="0.3">
      <c r="A185" s="2" t="s">
        <v>149</v>
      </c>
      <c r="B185" s="11"/>
      <c r="C185" s="12">
        <f>C163+C178</f>
        <v>0</v>
      </c>
      <c r="D185" s="9"/>
      <c r="E185" s="12"/>
    </row>
    <row r="186" spans="1:6" x14ac:dyDescent="0.3">
      <c r="A186" s="2" t="s">
        <v>151</v>
      </c>
      <c r="B186" s="9"/>
      <c r="C186" s="12"/>
      <c r="D186" s="11"/>
      <c r="E186" s="12">
        <f>E164+E178</f>
        <v>2200000</v>
      </c>
    </row>
    <row r="187" spans="1:6" ht="15" thickBot="1" x14ac:dyDescent="0.35">
      <c r="A187" s="3" t="s">
        <v>152</v>
      </c>
      <c r="B187" s="15">
        <f>SUM(B184:B186)</f>
        <v>0</v>
      </c>
      <c r="C187" s="16">
        <f t="shared" ref="C187:E187" si="7">SUM(C184:C186)</f>
        <v>0</v>
      </c>
      <c r="D187" s="15">
        <f t="shared" si="7"/>
        <v>0</v>
      </c>
      <c r="E187" s="16">
        <f t="shared" si="7"/>
        <v>2200000</v>
      </c>
      <c r="F187" s="6"/>
    </row>
    <row r="189" spans="1:6" ht="15" thickBot="1" x14ac:dyDescent="0.35">
      <c r="B189" s="225" t="s">
        <v>114</v>
      </c>
      <c r="C189" s="226"/>
      <c r="D189" s="3" t="s">
        <v>115</v>
      </c>
    </row>
    <row r="190" spans="1:6" ht="15" thickBot="1" x14ac:dyDescent="0.35">
      <c r="A190" s="32" t="s">
        <v>165</v>
      </c>
      <c r="B190" s="29" t="s">
        <v>117</v>
      </c>
      <c r="C190" s="31" t="s">
        <v>118</v>
      </c>
      <c r="D190" s="29" t="s">
        <v>119</v>
      </c>
      <c r="E190" s="30" t="s">
        <v>120</v>
      </c>
      <c r="F190" s="5"/>
    </row>
    <row r="191" spans="1:6" ht="15.6" x14ac:dyDescent="0.3">
      <c r="A191" s="104" t="s">
        <v>121</v>
      </c>
      <c r="B191" s="9"/>
      <c r="D191" s="9"/>
      <c r="E191" s="10"/>
    </row>
    <row r="192" spans="1:6" x14ac:dyDescent="0.3">
      <c r="A192" s="2" t="s">
        <v>122</v>
      </c>
      <c r="B192" s="11">
        <v>0</v>
      </c>
      <c r="C192" s="10"/>
      <c r="D192" s="11"/>
      <c r="E192" s="10"/>
    </row>
    <row r="193" spans="1:6" x14ac:dyDescent="0.3">
      <c r="A193" s="2" t="s">
        <v>123</v>
      </c>
      <c r="B193" s="9"/>
      <c r="C193" s="12">
        <v>0</v>
      </c>
      <c r="D193" s="11"/>
      <c r="E193" s="12"/>
    </row>
    <row r="194" spans="1:6" x14ac:dyDescent="0.3">
      <c r="A194" s="2" t="s">
        <v>125</v>
      </c>
      <c r="B194" s="9"/>
      <c r="C194" s="10"/>
      <c r="D194" s="11">
        <f>-'Scenario and Data'!B187</f>
        <v>0</v>
      </c>
      <c r="E194" s="10"/>
    </row>
    <row r="195" spans="1:6" x14ac:dyDescent="0.3">
      <c r="A195" s="2" t="s">
        <v>154</v>
      </c>
      <c r="B195" s="9"/>
      <c r="C195" s="10"/>
      <c r="D195" s="9"/>
      <c r="E195" s="12">
        <f>-'Scenario and Data'!C170-'Scenario and Data'!E170</f>
        <v>100000</v>
      </c>
    </row>
    <row r="196" spans="1:6" ht="15" thickBot="1" x14ac:dyDescent="0.35">
      <c r="A196" s="3" t="s">
        <v>128</v>
      </c>
      <c r="B196" s="13">
        <f>SUM(B192:B195)</f>
        <v>0</v>
      </c>
      <c r="C196" s="14">
        <f>SUM(C192:C195)</f>
        <v>0</v>
      </c>
      <c r="D196" s="13">
        <f>SUM(D192:D195)</f>
        <v>0</v>
      </c>
      <c r="E196" s="14">
        <f>SUM(E192:E195)</f>
        <v>100000</v>
      </c>
      <c r="F196" s="6"/>
    </row>
    <row r="197" spans="1:6" ht="15.6" thickTop="1" thickBot="1" x14ac:dyDescent="0.35">
      <c r="A197" s="3"/>
      <c r="B197" s="27"/>
      <c r="C197" s="27"/>
      <c r="D197" s="27"/>
      <c r="E197" s="27"/>
      <c r="F197" s="6"/>
    </row>
    <row r="198" spans="1:6" ht="15.6" x14ac:dyDescent="0.3">
      <c r="A198" s="104" t="s">
        <v>129</v>
      </c>
      <c r="B198" s="24"/>
      <c r="C198" s="25"/>
      <c r="D198" s="24"/>
      <c r="E198" s="26"/>
    </row>
    <row r="199" spans="1:6" x14ac:dyDescent="0.3">
      <c r="A199" s="2" t="s">
        <v>155</v>
      </c>
      <c r="B199" s="11">
        <f>-B192</f>
        <v>0</v>
      </c>
      <c r="C199" s="10"/>
      <c r="D199" s="11"/>
      <c r="E199" s="12"/>
    </row>
    <row r="200" spans="1:6" x14ac:dyDescent="0.3">
      <c r="A200" s="2" t="s">
        <v>104</v>
      </c>
      <c r="B200" s="9"/>
      <c r="C200" s="12">
        <v>0</v>
      </c>
      <c r="D200" s="11"/>
      <c r="E200" s="12">
        <f>-E195</f>
        <v>-100000</v>
      </c>
    </row>
    <row r="201" spans="1:6" x14ac:dyDescent="0.3">
      <c r="A201" s="2" t="s">
        <v>156</v>
      </c>
      <c r="B201" s="11">
        <v>0</v>
      </c>
      <c r="C201" s="12"/>
      <c r="D201" s="11"/>
      <c r="E201" s="12"/>
    </row>
    <row r="202" spans="1:6" x14ac:dyDescent="0.3">
      <c r="A202" s="2" t="s">
        <v>143</v>
      </c>
      <c r="B202" s="11">
        <v>0</v>
      </c>
      <c r="C202" s="12"/>
      <c r="D202" s="11">
        <f>-D194</f>
        <v>0</v>
      </c>
      <c r="E202" s="10"/>
    </row>
    <row r="203" spans="1:6" x14ac:dyDescent="0.3">
      <c r="B203" s="11"/>
      <c r="C203" s="10"/>
      <c r="D203" s="9"/>
      <c r="E203" s="12"/>
    </row>
    <row r="204" spans="1:6" ht="15" thickBot="1" x14ac:dyDescent="0.35">
      <c r="A204" s="3" t="s">
        <v>146</v>
      </c>
      <c r="B204" s="13">
        <f>SUM(B199:B202)</f>
        <v>0</v>
      </c>
      <c r="C204" s="14">
        <f>SUM(C199:C202)</f>
        <v>0</v>
      </c>
      <c r="D204" s="13">
        <f>SUM(D199:D202)</f>
        <v>0</v>
      </c>
      <c r="E204" s="14">
        <f>SUM(E199:E202)</f>
        <v>-100000</v>
      </c>
      <c r="F204" s="6"/>
    </row>
    <row r="205" spans="1:6" ht="15" thickTop="1" x14ac:dyDescent="0.3">
      <c r="B205" s="9"/>
      <c r="C205" s="10"/>
      <c r="D205" s="9"/>
      <c r="E205" s="12"/>
    </row>
    <row r="206" spans="1:6" x14ac:dyDescent="0.3">
      <c r="A206" s="2" t="s">
        <v>147</v>
      </c>
      <c r="B206" s="11">
        <f>B184+B199+B201</f>
        <v>0</v>
      </c>
      <c r="C206" s="10"/>
      <c r="D206" s="9"/>
      <c r="E206" s="12"/>
    </row>
    <row r="207" spans="1:6" x14ac:dyDescent="0.3">
      <c r="A207" s="2" t="s">
        <v>149</v>
      </c>
      <c r="B207" s="11"/>
      <c r="C207" s="12">
        <f>C185+C200</f>
        <v>0</v>
      </c>
      <c r="D207" s="9"/>
      <c r="E207" s="12"/>
    </row>
    <row r="208" spans="1:6" x14ac:dyDescent="0.3">
      <c r="A208" s="2" t="s">
        <v>151</v>
      </c>
      <c r="B208" s="9"/>
      <c r="C208" s="12"/>
      <c r="D208" s="11"/>
      <c r="E208" s="12">
        <f>E186+E200</f>
        <v>2100000</v>
      </c>
    </row>
    <row r="209" spans="1:6" ht="15" thickBot="1" x14ac:dyDescent="0.35">
      <c r="A209" s="3" t="s">
        <v>152</v>
      </c>
      <c r="B209" s="15">
        <f>SUM(B206:B208)</f>
        <v>0</v>
      </c>
      <c r="C209" s="16">
        <f t="shared" ref="C209:E209" si="8">SUM(C206:C208)</f>
        <v>0</v>
      </c>
      <c r="D209" s="15">
        <f t="shared" si="8"/>
        <v>0</v>
      </c>
      <c r="E209" s="16">
        <f t="shared" si="8"/>
        <v>2100000</v>
      </c>
      <c r="F209" s="6"/>
    </row>
    <row r="211" spans="1:6" ht="15" thickBot="1" x14ac:dyDescent="0.35">
      <c r="B211" s="225" t="s">
        <v>114</v>
      </c>
      <c r="C211" s="226"/>
      <c r="D211" s="3" t="s">
        <v>115</v>
      </c>
    </row>
    <row r="212" spans="1:6" ht="15" thickBot="1" x14ac:dyDescent="0.35">
      <c r="A212" s="32" t="s">
        <v>166</v>
      </c>
      <c r="B212" s="29" t="s">
        <v>117</v>
      </c>
      <c r="C212" s="31" t="s">
        <v>118</v>
      </c>
      <c r="D212" s="29" t="s">
        <v>119</v>
      </c>
      <c r="E212" s="30" t="s">
        <v>120</v>
      </c>
      <c r="F212" s="5"/>
    </row>
    <row r="213" spans="1:6" ht="15.6" x14ac:dyDescent="0.3">
      <c r="A213" s="104" t="s">
        <v>121</v>
      </c>
      <c r="B213" s="9"/>
      <c r="D213" s="9"/>
      <c r="E213" s="10"/>
    </row>
    <row r="214" spans="1:6" x14ac:dyDescent="0.3">
      <c r="A214" s="2" t="s">
        <v>122</v>
      </c>
      <c r="B214" s="11">
        <f>'Scenario and Data'!D98</f>
        <v>0</v>
      </c>
      <c r="C214" s="10"/>
      <c r="D214" s="11"/>
      <c r="E214" s="10"/>
    </row>
    <row r="215" spans="1:6" x14ac:dyDescent="0.3">
      <c r="A215" s="2" t="s">
        <v>123</v>
      </c>
      <c r="B215" s="9"/>
      <c r="C215" s="12">
        <v>0</v>
      </c>
      <c r="D215" s="11"/>
      <c r="E215" s="12"/>
    </row>
    <row r="216" spans="1:6" x14ac:dyDescent="0.3">
      <c r="A216" s="2" t="s">
        <v>125</v>
      </c>
      <c r="B216" s="9"/>
      <c r="C216" s="10"/>
      <c r="D216" s="11">
        <f>-'Scenario and Data'!B188</f>
        <v>0</v>
      </c>
      <c r="E216" s="10"/>
    </row>
    <row r="217" spans="1:6" x14ac:dyDescent="0.3">
      <c r="A217" s="2" t="s">
        <v>154</v>
      </c>
      <c r="B217" s="9"/>
      <c r="C217" s="10"/>
      <c r="D217" s="9"/>
      <c r="E217" s="12">
        <f>-'Scenario and Data'!C171-'Scenario and Data'!E171</f>
        <v>100000</v>
      </c>
    </row>
    <row r="218" spans="1:6" ht="15" thickBot="1" x14ac:dyDescent="0.35">
      <c r="A218" s="3" t="s">
        <v>128</v>
      </c>
      <c r="B218" s="13">
        <f>SUM(B214:B217)</f>
        <v>0</v>
      </c>
      <c r="C218" s="14">
        <f>SUM(C214:C217)</f>
        <v>0</v>
      </c>
      <c r="D218" s="13">
        <f>SUM(D214:D217)</f>
        <v>0</v>
      </c>
      <c r="E218" s="14">
        <f>SUM(E214:E217)</f>
        <v>100000</v>
      </c>
      <c r="F218" s="6"/>
    </row>
    <row r="219" spans="1:6" ht="15.6" thickTop="1" thickBot="1" x14ac:dyDescent="0.35">
      <c r="A219" s="3"/>
      <c r="B219" s="27"/>
      <c r="C219" s="27"/>
      <c r="D219" s="27"/>
      <c r="E219" s="27"/>
      <c r="F219" s="6"/>
    </row>
    <row r="220" spans="1:6" ht="15.6" x14ac:dyDescent="0.3">
      <c r="A220" s="104" t="s">
        <v>129</v>
      </c>
      <c r="B220" s="24"/>
      <c r="C220" s="25"/>
      <c r="D220" s="24"/>
      <c r="E220" s="26"/>
    </row>
    <row r="221" spans="1:6" x14ac:dyDescent="0.3">
      <c r="A221" s="2" t="s">
        <v>155</v>
      </c>
      <c r="B221" s="11">
        <f>-B214</f>
        <v>0</v>
      </c>
      <c r="C221" s="10"/>
      <c r="D221" s="11"/>
      <c r="E221" s="12"/>
    </row>
    <row r="222" spans="1:6" x14ac:dyDescent="0.3">
      <c r="A222" s="2" t="s">
        <v>104</v>
      </c>
      <c r="B222" s="9"/>
      <c r="C222" s="12">
        <v>0</v>
      </c>
      <c r="D222" s="11"/>
      <c r="E222" s="12">
        <f>-E217</f>
        <v>-100000</v>
      </c>
    </row>
    <row r="223" spans="1:6" x14ac:dyDescent="0.3">
      <c r="A223" s="2" t="s">
        <v>156</v>
      </c>
      <c r="B223" s="11">
        <v>0</v>
      </c>
      <c r="C223" s="12"/>
      <c r="D223" s="11"/>
      <c r="E223" s="12"/>
    </row>
    <row r="224" spans="1:6" x14ac:dyDescent="0.3">
      <c r="A224" s="2" t="s">
        <v>143</v>
      </c>
      <c r="B224" s="11">
        <v>0</v>
      </c>
      <c r="C224" s="12"/>
      <c r="D224" s="11">
        <f>-D216</f>
        <v>0</v>
      </c>
      <c r="E224" s="10"/>
    </row>
    <row r="225" spans="1:6" x14ac:dyDescent="0.3">
      <c r="B225" s="11"/>
      <c r="C225" s="10"/>
      <c r="D225" s="9"/>
      <c r="E225" s="12"/>
    </row>
    <row r="226" spans="1:6" ht="15" thickBot="1" x14ac:dyDescent="0.35">
      <c r="A226" s="3" t="s">
        <v>146</v>
      </c>
      <c r="B226" s="13">
        <f>SUM(B221:B224)</f>
        <v>0</v>
      </c>
      <c r="C226" s="14">
        <f>SUM(C221:C224)</f>
        <v>0</v>
      </c>
      <c r="D226" s="13">
        <f>SUM(D221:D224)</f>
        <v>0</v>
      </c>
      <c r="E226" s="14">
        <f>SUM(E221:E224)</f>
        <v>-100000</v>
      </c>
      <c r="F226" s="6"/>
    </row>
    <row r="227" spans="1:6" ht="15" thickTop="1" x14ac:dyDescent="0.3">
      <c r="B227" s="9"/>
      <c r="C227" s="10"/>
      <c r="D227" s="9"/>
      <c r="E227" s="12"/>
    </row>
    <row r="228" spans="1:6" x14ac:dyDescent="0.3">
      <c r="A228" s="2" t="s">
        <v>147</v>
      </c>
      <c r="B228" s="11">
        <f>B206+B221+B223</f>
        <v>0</v>
      </c>
      <c r="C228" s="10"/>
      <c r="D228" s="9"/>
      <c r="E228" s="12"/>
    </row>
    <row r="229" spans="1:6" x14ac:dyDescent="0.3">
      <c r="A229" s="2" t="s">
        <v>149</v>
      </c>
      <c r="B229" s="11"/>
      <c r="C229" s="12">
        <f>C207+C222</f>
        <v>0</v>
      </c>
      <c r="D229" s="9"/>
      <c r="E229" s="12"/>
    </row>
    <row r="230" spans="1:6" x14ac:dyDescent="0.3">
      <c r="A230" s="2" t="s">
        <v>151</v>
      </c>
      <c r="B230" s="9"/>
      <c r="C230" s="12"/>
      <c r="D230" s="11"/>
      <c r="E230" s="12">
        <f>E208+E222</f>
        <v>2000000</v>
      </c>
    </row>
    <row r="231" spans="1:6" ht="15" thickBot="1" x14ac:dyDescent="0.35">
      <c r="A231" s="3" t="s">
        <v>152</v>
      </c>
      <c r="B231" s="15">
        <f>SUM(B228:B230)</f>
        <v>0</v>
      </c>
      <c r="C231" s="16">
        <f t="shared" ref="C231:E231" si="9">SUM(C228:C230)</f>
        <v>0</v>
      </c>
      <c r="D231" s="15">
        <f t="shared" si="9"/>
        <v>0</v>
      </c>
      <c r="E231" s="16">
        <f t="shared" si="9"/>
        <v>2000000</v>
      </c>
      <c r="F231" s="6"/>
    </row>
  </sheetData>
  <mergeCells count="10">
    <mergeCell ref="B32:C32"/>
    <mergeCell ref="B4:C4"/>
    <mergeCell ref="B54:C54"/>
    <mergeCell ref="B76:C76"/>
    <mergeCell ref="B211:C211"/>
    <mergeCell ref="B98:C98"/>
    <mergeCell ref="B120:C120"/>
    <mergeCell ref="B142:C142"/>
    <mergeCell ref="B167:C167"/>
    <mergeCell ref="B189:C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3202-8600-4E31-987B-948B24D7170B}">
  <dimension ref="A1:S26"/>
  <sheetViews>
    <sheetView showGridLines="0" workbookViewId="0">
      <selection activeCell="A6" sqref="A6"/>
    </sheetView>
  </sheetViews>
  <sheetFormatPr defaultRowHeight="14.4" outlineLevelCol="1" x14ac:dyDescent="0.3"/>
  <cols>
    <col min="1" max="1" width="29.77734375" customWidth="1"/>
    <col min="2" max="13" width="14.21875" customWidth="1"/>
    <col min="14" max="16" width="14.21875" hidden="1" customWidth="1" outlineLevel="1"/>
    <col min="17" max="18" width="8.88671875" hidden="1" customWidth="1" outlineLevel="1"/>
    <col min="19" max="19" width="8.88671875" collapsed="1"/>
  </cols>
  <sheetData>
    <row r="1" spans="1:18" x14ac:dyDescent="0.3">
      <c r="A1" s="33" t="s">
        <v>167</v>
      </c>
    </row>
    <row r="2" spans="1:18" x14ac:dyDescent="0.3">
      <c r="A2" s="33"/>
    </row>
    <row r="3" spans="1:18" x14ac:dyDescent="0.3">
      <c r="A3" s="94" t="s">
        <v>168</v>
      </c>
      <c r="D3" t="s">
        <v>169</v>
      </c>
    </row>
    <row r="5" spans="1:18" ht="15" thickBot="1" x14ac:dyDescent="0.35"/>
    <row r="6" spans="1:18" ht="15" thickBot="1" x14ac:dyDescent="0.35">
      <c r="A6" s="48" t="s">
        <v>170</v>
      </c>
      <c r="B6" s="235" t="s">
        <v>171</v>
      </c>
      <c r="C6" s="227"/>
      <c r="D6" s="227"/>
      <c r="E6" s="227"/>
      <c r="F6" s="227"/>
      <c r="G6" s="236"/>
      <c r="H6" s="237" t="s">
        <v>172</v>
      </c>
      <c r="I6" s="238"/>
      <c r="J6" s="238"/>
      <c r="K6" s="238"/>
      <c r="L6" s="238"/>
      <c r="M6" s="239"/>
      <c r="N6" s="227" t="s">
        <v>173</v>
      </c>
      <c r="O6" s="227"/>
      <c r="P6" s="228" t="s">
        <v>174</v>
      </c>
    </row>
    <row r="7" spans="1:18" ht="30.6" customHeight="1" x14ac:dyDescent="0.3">
      <c r="A7" s="49" t="s">
        <v>175</v>
      </c>
      <c r="B7" s="230" t="s">
        <v>176</v>
      </c>
      <c r="C7" s="231"/>
      <c r="D7" s="232" t="s">
        <v>177</v>
      </c>
      <c r="E7" s="233"/>
      <c r="F7" s="233"/>
      <c r="G7" s="234"/>
      <c r="H7" s="35" t="s">
        <v>178</v>
      </c>
      <c r="I7" s="36" t="s">
        <v>179</v>
      </c>
      <c r="J7" s="36" t="s">
        <v>180</v>
      </c>
      <c r="K7" s="36" t="s">
        <v>181</v>
      </c>
      <c r="L7" s="36" t="s">
        <v>182</v>
      </c>
      <c r="M7" s="34" t="s">
        <v>183</v>
      </c>
      <c r="N7" s="99" t="s">
        <v>184</v>
      </c>
      <c r="O7" s="34" t="s">
        <v>185</v>
      </c>
      <c r="P7" s="229"/>
    </row>
    <row r="8" spans="1:18" ht="18" customHeight="1" x14ac:dyDescent="0.3">
      <c r="A8" s="73"/>
      <c r="B8" s="74" t="s">
        <v>186</v>
      </c>
      <c r="C8" s="75" t="s">
        <v>187</v>
      </c>
      <c r="D8" s="76" t="s">
        <v>188</v>
      </c>
      <c r="E8" s="76" t="s">
        <v>189</v>
      </c>
      <c r="F8" s="75" t="s">
        <v>190</v>
      </c>
      <c r="G8" s="77" t="s">
        <v>191</v>
      </c>
      <c r="H8" s="78"/>
      <c r="I8" s="240"/>
      <c r="J8" s="240"/>
      <c r="K8" s="240"/>
      <c r="L8" s="240"/>
      <c r="M8" s="77"/>
      <c r="N8" s="100"/>
      <c r="O8" s="77"/>
      <c r="P8" s="71"/>
    </row>
    <row r="9" spans="1:18" ht="15.6" customHeight="1" x14ac:dyDescent="0.3">
      <c r="A9" s="39" t="s">
        <v>192</v>
      </c>
      <c r="B9" s="79"/>
      <c r="C9" s="80">
        <f>-D9</f>
        <v>127617.32513466082</v>
      </c>
      <c r="D9" s="81">
        <f>Accounting!C158</f>
        <v>-127617.32513466082</v>
      </c>
      <c r="E9" s="81"/>
      <c r="F9" s="96"/>
      <c r="G9" s="68"/>
      <c r="H9" s="82"/>
      <c r="I9" s="215"/>
      <c r="J9" s="241"/>
      <c r="K9" s="215"/>
      <c r="L9" s="215">
        <f>D9</f>
        <v>-127617.32513466082</v>
      </c>
      <c r="M9" s="207"/>
      <c r="N9" s="101"/>
      <c r="O9" s="37"/>
      <c r="P9" s="38"/>
      <c r="R9" t="s">
        <v>193</v>
      </c>
    </row>
    <row r="10" spans="1:18" ht="15.6" customHeight="1" x14ac:dyDescent="0.3">
      <c r="A10" s="39" t="s">
        <v>194</v>
      </c>
      <c r="B10" s="79">
        <f>-F10</f>
        <v>-142970.52154195006</v>
      </c>
      <c r="C10" s="80"/>
      <c r="D10" s="81"/>
      <c r="E10" s="81"/>
      <c r="F10" s="80">
        <f>Accounting!B158</f>
        <v>142970.52154195006</v>
      </c>
      <c r="G10" s="68"/>
      <c r="H10" s="82"/>
      <c r="I10" s="215"/>
      <c r="J10" s="241"/>
      <c r="K10" s="215"/>
      <c r="L10" s="215"/>
      <c r="M10" s="84"/>
      <c r="N10" s="101"/>
      <c r="O10" s="37"/>
      <c r="P10" s="38"/>
    </row>
    <row r="11" spans="1:18" ht="15.6" customHeight="1" x14ac:dyDescent="0.3">
      <c r="A11" s="39" t="s">
        <v>195</v>
      </c>
      <c r="B11" s="79"/>
      <c r="C11" s="80"/>
      <c r="D11" s="81"/>
      <c r="E11" s="81"/>
      <c r="F11" s="80"/>
      <c r="G11" s="68"/>
      <c r="H11" s="82"/>
      <c r="I11" s="215">
        <f>B10+C9</f>
        <v>-15353.196407289244</v>
      </c>
      <c r="J11" s="241"/>
      <c r="K11" s="215"/>
      <c r="L11" s="215"/>
      <c r="M11" s="84"/>
      <c r="N11" s="101"/>
      <c r="O11" s="37"/>
      <c r="P11" s="38"/>
    </row>
    <row r="12" spans="1:18" ht="15.6" customHeight="1" x14ac:dyDescent="0.3">
      <c r="A12" s="39" t="s">
        <v>196</v>
      </c>
      <c r="B12" s="79"/>
      <c r="C12" s="70">
        <f>Accounting!B145</f>
        <v>6808.1200734261938</v>
      </c>
      <c r="D12" s="70"/>
      <c r="E12" s="81"/>
      <c r="F12" s="80">
        <f>Accounting!B154</f>
        <v>-6808.1200734261938</v>
      </c>
      <c r="G12" s="68"/>
      <c r="H12" s="82"/>
      <c r="I12" s="215">
        <f>C12</f>
        <v>6808.1200734261938</v>
      </c>
      <c r="J12" s="241"/>
      <c r="K12" s="215"/>
      <c r="L12" s="215"/>
      <c r="M12" s="84"/>
      <c r="N12" s="101"/>
      <c r="O12" s="37"/>
      <c r="P12" s="38"/>
      <c r="R12" t="s">
        <v>197</v>
      </c>
    </row>
    <row r="13" spans="1:18" ht="15.6" customHeight="1" x14ac:dyDescent="0.3">
      <c r="A13" s="39" t="s">
        <v>81</v>
      </c>
      <c r="B13" s="79"/>
      <c r="C13" s="80">
        <f>Accounting!C146</f>
        <v>42539.108378220262</v>
      </c>
      <c r="D13" s="81">
        <f>Accounting!C155</f>
        <v>-42539.108378220262</v>
      </c>
      <c r="E13" s="81"/>
      <c r="F13" s="80"/>
      <c r="G13" s="68"/>
      <c r="H13" s="82">
        <f>C13</f>
        <v>42539.108378220262</v>
      </c>
      <c r="I13" s="215"/>
      <c r="J13" s="241"/>
      <c r="K13" s="215"/>
      <c r="L13" s="215"/>
      <c r="M13" s="84"/>
      <c r="N13" s="101"/>
      <c r="O13" s="37"/>
      <c r="P13" s="38"/>
      <c r="R13" t="s">
        <v>198</v>
      </c>
    </row>
    <row r="14" spans="1:18" ht="15.6" customHeight="1" thickBot="1" x14ac:dyDescent="0.35">
      <c r="A14" s="39" t="s">
        <v>199</v>
      </c>
      <c r="B14" s="79"/>
      <c r="C14" s="85"/>
      <c r="D14" s="86"/>
      <c r="E14" s="86">
        <f>Accounting!B157</f>
        <v>-50000</v>
      </c>
      <c r="F14" s="85">
        <f>Accounting!B156</f>
        <v>50000</v>
      </c>
      <c r="G14" s="68"/>
      <c r="H14" s="82"/>
      <c r="I14" s="70"/>
      <c r="J14" s="83"/>
      <c r="K14" s="70"/>
      <c r="L14" s="70"/>
      <c r="M14" s="84"/>
      <c r="N14" s="101"/>
      <c r="O14" s="37"/>
      <c r="P14" s="38"/>
    </row>
    <row r="15" spans="1:18" ht="15" thickBot="1" x14ac:dyDescent="0.35">
      <c r="A15" s="40" t="s">
        <v>200</v>
      </c>
      <c r="B15" s="41"/>
      <c r="C15" s="43"/>
      <c r="D15" s="43"/>
      <c r="E15" s="43"/>
      <c r="F15" s="43"/>
      <c r="G15" s="42"/>
      <c r="H15" s="87">
        <f>SUM(H9:H14)</f>
        <v>42539.108378220262</v>
      </c>
      <c r="I15" s="87">
        <f t="shared" ref="I15:L15" si="0">SUM(I9:I14)</f>
        <v>-8545.0763338630495</v>
      </c>
      <c r="J15" s="87">
        <f t="shared" si="0"/>
        <v>0</v>
      </c>
      <c r="K15" s="87">
        <f t="shared" si="0"/>
        <v>0</v>
      </c>
      <c r="L15" s="87">
        <f t="shared" si="0"/>
        <v>-127617.32513466082</v>
      </c>
      <c r="M15" s="208">
        <f>SUM(M9:M14)</f>
        <v>0</v>
      </c>
      <c r="N15" s="43"/>
      <c r="O15" s="43"/>
      <c r="P15" s="44"/>
    </row>
    <row r="16" spans="1:18" ht="15" thickBot="1" x14ac:dyDescent="0.35">
      <c r="A16" s="45" t="s">
        <v>201</v>
      </c>
      <c r="B16" s="45"/>
      <c r="C16" s="45"/>
      <c r="D16" s="45"/>
      <c r="E16" s="45"/>
      <c r="F16" s="45"/>
      <c r="G16" s="46">
        <f>SUM(B9:G14)</f>
        <v>0</v>
      </c>
      <c r="H16" s="47"/>
      <c r="I16" s="47"/>
      <c r="J16" s="47"/>
      <c r="K16" s="47"/>
      <c r="L16" s="47"/>
      <c r="M16" s="47"/>
      <c r="N16" s="47"/>
      <c r="O16" s="47"/>
      <c r="P16" s="47"/>
    </row>
    <row r="17" spans="1:16" ht="15" thickBot="1" x14ac:dyDescent="0.35"/>
    <row r="18" spans="1:16" ht="15" thickBot="1" x14ac:dyDescent="0.35">
      <c r="A18" s="48" t="s">
        <v>202</v>
      </c>
      <c r="B18" s="235" t="s">
        <v>171</v>
      </c>
      <c r="C18" s="227"/>
      <c r="D18" s="227"/>
      <c r="E18" s="227"/>
      <c r="F18" s="227"/>
      <c r="G18" s="236"/>
      <c r="H18" s="237" t="s">
        <v>172</v>
      </c>
      <c r="I18" s="238"/>
      <c r="J18" s="238"/>
      <c r="K18" s="238"/>
      <c r="L18" s="238"/>
      <c r="M18" s="239"/>
      <c r="N18" s="227" t="s">
        <v>173</v>
      </c>
      <c r="O18" s="227"/>
      <c r="P18" s="228" t="s">
        <v>174</v>
      </c>
    </row>
    <row r="19" spans="1:16" x14ac:dyDescent="0.3">
      <c r="A19" s="49" t="s">
        <v>175</v>
      </c>
      <c r="B19" s="230" t="s">
        <v>176</v>
      </c>
      <c r="C19" s="233"/>
      <c r="D19" s="232" t="s">
        <v>177</v>
      </c>
      <c r="E19" s="233"/>
      <c r="F19" s="233"/>
      <c r="G19" s="234"/>
      <c r="H19" s="35" t="s">
        <v>178</v>
      </c>
      <c r="I19" s="36" t="s">
        <v>179</v>
      </c>
      <c r="J19" s="36" t="s">
        <v>180</v>
      </c>
      <c r="K19" s="36" t="s">
        <v>181</v>
      </c>
      <c r="L19" s="36" t="s">
        <v>182</v>
      </c>
      <c r="M19" s="34" t="s">
        <v>183</v>
      </c>
      <c r="N19" s="99" t="s">
        <v>184</v>
      </c>
      <c r="O19" s="34" t="s">
        <v>185</v>
      </c>
      <c r="P19" s="229"/>
    </row>
    <row r="20" spans="1:16" x14ac:dyDescent="0.3">
      <c r="A20" s="73"/>
      <c r="B20" s="74" t="s">
        <v>186</v>
      </c>
      <c r="C20" s="75" t="s">
        <v>187</v>
      </c>
      <c r="D20" s="76" t="s">
        <v>188</v>
      </c>
      <c r="E20" s="76" t="s">
        <v>189</v>
      </c>
      <c r="F20" s="75" t="s">
        <v>190</v>
      </c>
      <c r="G20" s="77" t="s">
        <v>191</v>
      </c>
      <c r="H20" s="88"/>
      <c r="I20" s="89"/>
      <c r="J20" s="89"/>
      <c r="K20" s="89"/>
      <c r="L20" s="89"/>
      <c r="M20" s="90"/>
      <c r="N20" s="100"/>
      <c r="O20" s="77"/>
      <c r="P20" s="71"/>
    </row>
    <row r="21" spans="1:16" ht="15.6" customHeight="1" x14ac:dyDescent="0.3">
      <c r="A21" s="39" t="s">
        <v>203</v>
      </c>
      <c r="B21" s="69">
        <f>SUM(Accounting!D147:D147)</f>
        <v>-50000</v>
      </c>
      <c r="C21" s="91"/>
      <c r="D21" s="81"/>
      <c r="E21" s="81">
        <f>Accounting!D157</f>
        <v>50000</v>
      </c>
      <c r="F21" s="80"/>
      <c r="G21" s="68"/>
      <c r="H21" s="82"/>
      <c r="I21" s="70">
        <f>B21</f>
        <v>-50000</v>
      </c>
      <c r="J21" s="83"/>
      <c r="K21" s="70"/>
      <c r="L21" s="70"/>
      <c r="M21" s="84"/>
      <c r="N21" s="101"/>
      <c r="O21" s="37"/>
      <c r="P21" s="38"/>
    </row>
    <row r="22" spans="1:16" ht="15.6" customHeight="1" thickBot="1" x14ac:dyDescent="0.35">
      <c r="A22" s="39" t="s">
        <v>81</v>
      </c>
      <c r="B22" s="69"/>
      <c r="C22" s="91">
        <f>Accounting!E148</f>
        <v>102000</v>
      </c>
      <c r="D22" s="81">
        <f>Accounting!E155</f>
        <v>-102000</v>
      </c>
      <c r="E22" s="81"/>
      <c r="F22" s="80"/>
      <c r="G22" s="68"/>
      <c r="H22" s="82">
        <f>C22</f>
        <v>102000</v>
      </c>
      <c r="I22" s="70"/>
      <c r="J22" s="83"/>
      <c r="K22" s="70"/>
      <c r="L22" s="70"/>
      <c r="M22" s="84"/>
      <c r="N22" s="101"/>
      <c r="O22" s="37"/>
      <c r="P22" s="38"/>
    </row>
    <row r="23" spans="1:16" ht="15" thickBot="1" x14ac:dyDescent="0.35">
      <c r="A23" s="40" t="s">
        <v>200</v>
      </c>
      <c r="B23" s="41"/>
      <c r="C23" s="43"/>
      <c r="D23" s="43"/>
      <c r="E23" s="43"/>
      <c r="F23" s="43"/>
      <c r="G23" s="42"/>
      <c r="H23" s="92">
        <f t="shared" ref="H23:M23" si="1">SUM(H21:H22)</f>
        <v>102000</v>
      </c>
      <c r="I23" s="87">
        <f t="shared" si="1"/>
        <v>-50000</v>
      </c>
      <c r="J23" s="87">
        <f t="shared" si="1"/>
        <v>0</v>
      </c>
      <c r="K23" s="87">
        <f t="shared" si="1"/>
        <v>0</v>
      </c>
      <c r="L23" s="87">
        <f t="shared" si="1"/>
        <v>0</v>
      </c>
      <c r="M23" s="93">
        <f t="shared" si="1"/>
        <v>0</v>
      </c>
      <c r="N23" s="43"/>
      <c r="O23" s="43"/>
      <c r="P23" s="44"/>
    </row>
    <row r="24" spans="1:16" ht="15" thickBot="1" x14ac:dyDescent="0.35">
      <c r="A24" s="45" t="s">
        <v>201</v>
      </c>
      <c r="B24" s="45"/>
      <c r="C24" s="45"/>
      <c r="D24" s="45"/>
      <c r="E24" s="45"/>
      <c r="F24" s="45"/>
      <c r="G24" s="46">
        <f>SUM(B21:G22)</f>
        <v>0</v>
      </c>
      <c r="H24" s="47"/>
      <c r="I24" s="47"/>
      <c r="J24" s="47"/>
      <c r="K24" s="47"/>
      <c r="L24" s="47"/>
      <c r="M24" s="47"/>
      <c r="N24" s="47"/>
      <c r="O24" s="47"/>
      <c r="P24" s="47"/>
    </row>
    <row r="26" spans="1:16" x14ac:dyDescent="0.3">
      <c r="A26" t="s">
        <v>204</v>
      </c>
    </row>
  </sheetData>
  <mergeCells count="12">
    <mergeCell ref="N6:O6"/>
    <mergeCell ref="P6:P7"/>
    <mergeCell ref="B7:C7"/>
    <mergeCell ref="D7:G7"/>
    <mergeCell ref="B18:G18"/>
    <mergeCell ref="H18:M18"/>
    <mergeCell ref="N18:O18"/>
    <mergeCell ref="P18:P19"/>
    <mergeCell ref="B19:C19"/>
    <mergeCell ref="D19:G19"/>
    <mergeCell ref="B6:G6"/>
    <mergeCell ref="H6:M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0B453C2E56BC40827FBB9E03A7F75B" ma:contentTypeVersion="33" ma:contentTypeDescription="Create a new document." ma:contentTypeScope="" ma:versionID="e9ba3eeae428211e0618048c8325463d">
  <xsd:schema xmlns:xsd="http://www.w3.org/2001/XMLSchema" xmlns:xs="http://www.w3.org/2001/XMLSchema" xmlns:p="http://schemas.microsoft.com/office/2006/metadata/properties" xmlns:ns1="http://schemas.microsoft.com/sharepoint/v3" xmlns:ns2="cf922d0c-7565-4a19-867a-78a71dd2f738" targetNamespace="http://schemas.microsoft.com/office/2006/metadata/properties" ma:root="true" ma:fieldsID="6c68d28761018736f924c3f0c0486311" ns1:_="" ns2:_="">
    <xsd:import namespace="http://schemas.microsoft.com/sharepoint/v3"/>
    <xsd:import namespace="cf922d0c-7565-4a19-867a-78a71dd2f738"/>
    <xsd:element name="properties">
      <xsd:complexType>
        <xsd:sequence>
          <xsd:element name="documentManagement">
            <xsd:complexType>
              <xsd:all>
                <xsd:element ref="ns2:savestamp" minOccurs="0"/>
                <xsd:element ref="ns2:Time"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22d0c-7565-4a19-867a-78a71dd2f738" elementFormDefault="qualified">
    <xsd:import namespace="http://schemas.microsoft.com/office/2006/documentManagement/types"/>
    <xsd:import namespace="http://schemas.microsoft.com/office/infopath/2007/PartnerControls"/>
    <xsd:element name="savestamp" ma:index="8" nillable="true" ma:displayName="save stamp" ma:format="DateTime" ma:internalName="savestamp">
      <xsd:simpleType>
        <xsd:restriction base="dms:DateTime"/>
      </xsd:simpleType>
    </xsd:element>
    <xsd:element name="Time" ma:index="9" nillable="true" ma:displayName="Time" ma:format="DateTime" ma:internalName="Tim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Review_x0020_Date" ma:index="16" nillable="true" ma:displayName="Review date" ma:indexed="true" ma:internalName="Review_x0020_Dat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avestamp xmlns="cf922d0c-7565-4a19-867a-78a71dd2f738" xsi:nil="true"/>
    <_ip_UnifiedCompliancePolicyUIAction xmlns="http://schemas.microsoft.com/sharepoint/v3" xsi:nil="true"/>
    <Time xmlns="cf922d0c-7565-4a19-867a-78a71dd2f738" xsi:nil="true"/>
    <_ip_UnifiedCompliancePolicyProperties xmlns="http://schemas.microsoft.com/sharepoint/v3" xsi:nil="true"/>
    <Review_x0020_Date xmlns="cf922d0c-7565-4a19-867a-78a71dd2f7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8536E-8DCA-42FC-B0BE-481FD6944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922d0c-7565-4a19-867a-78a71dd2f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672D10-46C9-4D17-92A0-B6D6F3723692}">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f922d0c-7565-4a19-867a-78a71dd2f738"/>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D7B045D-377B-44F8-9CE5-0F1025A041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Scenario and Data</vt:lpstr>
      <vt:lpstr>Accounting</vt:lpstr>
      <vt:lpstr>Budgeting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16 example: initial measurement of the right-of-use asset and lease liability</dc:title>
  <dc:subject/>
  <dc:creator>MM</dc:creator>
  <cp:keywords/>
  <dc:description/>
  <cp:lastModifiedBy>Wareing, Steven</cp:lastModifiedBy>
  <cp:revision/>
  <dcterms:created xsi:type="dcterms:W3CDTF">2018-10-06T14:44:45Z</dcterms:created>
  <dcterms:modified xsi:type="dcterms:W3CDTF">2022-11-11T13:20:27Z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0x010100430B453C2E56BC40827FBB9E03A7F75B</vt:lpwstr>
  </property>
</Properties>
</file>